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90" windowWidth="15270" windowHeight="8580"/>
  </bookViews>
  <sheets>
    <sheet name="Manual" sheetId="3" r:id="rId1"/>
    <sheet name="Calc" sheetId="1" r:id="rId2"/>
    <sheet name="Results" sheetId="4" r:id="rId3"/>
    <sheet name="RtopRbot" sheetId="2" state="hidden" r:id="rId4"/>
  </sheets>
  <calcPr calcId="125725"/>
</workbook>
</file>

<file path=xl/calcChain.xml><?xml version="1.0" encoding="utf-8"?>
<calcChain xmlns="http://schemas.openxmlformats.org/spreadsheetml/2006/main">
  <c r="C55" i="4"/>
  <c r="C60"/>
  <c r="C59"/>
  <c r="C56"/>
  <c r="C54"/>
  <c r="C61"/>
  <c r="C57"/>
  <c r="D41"/>
  <c r="C42" i="1"/>
  <c r="C58" i="4" s="1"/>
  <c r="C41" i="1"/>
  <c r="C52" i="4" s="1"/>
  <c r="C53" l="1"/>
  <c r="C40" i="1"/>
  <c r="C39" l="1"/>
  <c r="D44" i="4" s="1"/>
  <c r="C38" i="1"/>
  <c r="D39" i="4" s="1"/>
  <c r="B8" i="2"/>
  <c r="B7"/>
  <c r="H22" s="1"/>
  <c r="B12" l="1"/>
  <c r="B11"/>
  <c r="E22" l="1"/>
  <c r="B17"/>
  <c r="B18"/>
  <c r="B22"/>
  <c r="B23" s="1"/>
  <c r="F22"/>
  <c r="C36" i="1" l="1"/>
  <c r="C37"/>
  <c r="G22" i="2"/>
  <c r="D43" i="4" l="1"/>
  <c r="F43"/>
  <c r="F42"/>
  <c r="D42"/>
  <c r="J22" i="2"/>
  <c r="K22"/>
</calcChain>
</file>

<file path=xl/sharedStrings.xml><?xml version="1.0" encoding="utf-8"?>
<sst xmlns="http://schemas.openxmlformats.org/spreadsheetml/2006/main" count="111" uniqueCount="94">
  <si>
    <t>V</t>
  </si>
  <si>
    <t>%</t>
  </si>
  <si>
    <t>W</t>
  </si>
  <si>
    <r>
      <rPr>
        <b/>
        <sz val="11"/>
        <color theme="1"/>
        <rFont val="Calibri"/>
        <family val="2"/>
        <scheme val="minor"/>
      </rPr>
      <t>k</t>
    </r>
    <r>
      <rPr>
        <b/>
        <sz val="11"/>
        <color theme="1"/>
        <rFont val="Symbol"/>
        <family val="1"/>
        <charset val="2"/>
      </rPr>
      <t>W</t>
    </r>
  </si>
  <si>
    <t>mF</t>
  </si>
  <si>
    <t>INPUT</t>
  </si>
  <si>
    <t>OUTPUT</t>
  </si>
  <si>
    <t>n:</t>
  </si>
  <si>
    <t>Rrelay:</t>
  </si>
  <si>
    <t>Tolerance on the DC2 voltage (unloaded)</t>
  </si>
  <si>
    <t>Number of relays switched simultaneously</t>
  </si>
  <si>
    <t>Relay resistance (one relay only!)</t>
  </si>
  <si>
    <t>tact:</t>
  </si>
  <si>
    <t>ms</t>
  </si>
  <si>
    <t>Time the relay is activated</t>
  </si>
  <si>
    <t>Vdrop:</t>
  </si>
  <si>
    <t>Typical</t>
  </si>
  <si>
    <t>Worst Case</t>
  </si>
  <si>
    <t>VFILT:</t>
  </si>
  <si>
    <t>IVILT:</t>
  </si>
  <si>
    <t>mA</t>
  </si>
  <si>
    <t>uH</t>
  </si>
  <si>
    <t>Inductor value of DC2</t>
  </si>
  <si>
    <t>L2:</t>
  </si>
  <si>
    <t xml:space="preserve"> </t>
  </si>
  <si>
    <t>This Excel sheet can be used to calculate the component values required for driving relays with the adjustable DC-DC converter of NCN5120 (DC2).</t>
  </si>
  <si>
    <t>Disclaimer Agreement:</t>
  </si>
  <si>
    <t>1. Copyright</t>
  </si>
  <si>
    <t>3. Decompiling, Disassembling, or Reverse Engineering</t>
  </si>
  <si>
    <t>4. Transfer</t>
  </si>
  <si>
    <t>5. Disclaimer of Warranty</t>
  </si>
  <si>
    <t>even if ON Semiconductor has been advised of the possibility of such damage.</t>
  </si>
  <si>
    <t>You acknowledge that title and full ownership rights to this document will remain the exclusive property of ON Semiconductor and you will not acquire any rights to this document.</t>
  </si>
  <si>
    <t>Users of this document must accept this disclaimer of warranty:</t>
  </si>
  <si>
    <t>2. Limitations of Using, Copying, and Modifying this document</t>
  </si>
  <si>
    <t>You must not copy or modify the document.</t>
  </si>
  <si>
    <t>You are NOT permitted to study the source code of this document by ANY way and for ANY reason. You are NOT allowed to modify, decompile, disassemble or make reverse engineering on this document.</t>
  </si>
  <si>
    <t xml:space="preserve">You are NOT permitted to sell or lease this document by any means. You are NOT allowed to make this document available for download on any website outside the ON Semiconductor website. </t>
  </si>
  <si>
    <t>It is allowed to provide a direct link on your website to this document available on the ON Semiconductor website.</t>
  </si>
  <si>
    <t>This document is provided as-is without warranty of any kind.</t>
  </si>
  <si>
    <t xml:space="preserve">In no event will ON Semiconductor be liable for any indirect, incidental, special or consequential damages or for any lost profits, lost savings, lost revenues or lost data arising from or relating to this document or this agreement, </t>
  </si>
  <si>
    <t>One must always verify the results given by this document with his own real life application.</t>
  </si>
  <si>
    <t>Have fun.</t>
  </si>
  <si>
    <t>NCN5120: Driving Relays with DC2 in an Efficient Way</t>
  </si>
  <si>
    <t>Output voltage of DC2 when unloaded (= V2max)</t>
  </si>
  <si>
    <t>R4:</t>
  </si>
  <si>
    <t>R5:</t>
  </si>
  <si>
    <t>C13:</t>
  </si>
  <si>
    <t>R6:</t>
  </si>
  <si>
    <t>Open worksheet Calc and fill in all required Input Values. Go to worksheet Results to get a complete overview on the results.</t>
  </si>
  <si>
    <t>V2:</t>
  </si>
  <si>
    <t>V2_tol:</t>
  </si>
  <si>
    <t>Minimum voltage on VFILT (take 12V if not known)</t>
  </si>
  <si>
    <r>
      <t xml:space="preserve">Maximum current that can be sourced from VFILT (a good estimate is to take the maximum </t>
    </r>
    <r>
      <rPr>
        <sz val="10"/>
        <color theme="0" tint="-0.499984740745262"/>
        <rFont val="Calibri"/>
        <family val="2"/>
      </rPr>
      <t>KNX bus load)</t>
    </r>
  </si>
  <si>
    <t>C13 charge:</t>
  </si>
  <si>
    <t>tswitch:</t>
  </si>
  <si>
    <t xml:space="preserve">Drop allowed on the DC2 voltage when relays are activated. Try to take this value as high as possible but make sure V2 stays high enough to drive the relays. </t>
  </si>
  <si>
    <t>Estimated time between activating relays, based on minimum loading of DC1 and no loading on V20V. Reduce relay loading (higher resistance, less relays actived at the same time), decrease activation time of relays or increase KNX bus loading if time is too long.</t>
  </si>
  <si>
    <t>Estimated time to charge the capacitor after power up, based on minimum loading of DC1 and no loading on V20V. Reduce relay loading (higher resistance, less relays actived at the same time), decrease activation time of relays, increase voltage drop on V2 (if possible) or increase KNX bus loading if time is too long.</t>
  </si>
  <si>
    <t>Comp.</t>
  </si>
  <si>
    <t>Value</t>
  </si>
  <si>
    <t>Tolerance</t>
  </si>
  <si>
    <t>Remarks</t>
  </si>
  <si>
    <t>R4</t>
  </si>
  <si>
    <t>R5</t>
  </si>
  <si>
    <t>R6</t>
  </si>
  <si>
    <t>R7</t>
  </si>
  <si>
    <t>R8</t>
  </si>
  <si>
    <t>100 kOhm</t>
  </si>
  <si>
    <r>
      <rPr>
        <sz val="10"/>
        <rFont val="Calibri"/>
        <family val="2"/>
      </rPr>
      <t xml:space="preserve">± </t>
    </r>
    <r>
      <rPr>
        <sz val="10"/>
        <rFont val="Arial"/>
        <family val="2"/>
      </rPr>
      <t>1</t>
    </r>
    <r>
      <rPr>
        <sz val="10"/>
        <rFont val="Arial"/>
        <family val="2"/>
      </rPr>
      <t>0%</t>
    </r>
  </si>
  <si>
    <r>
      <t>±</t>
    </r>
    <r>
      <rPr>
        <sz val="10"/>
        <rFont val="Arial"/>
        <family val="2"/>
      </rPr>
      <t xml:space="preserve"> 5%</t>
    </r>
  </si>
  <si>
    <t>C12</t>
  </si>
  <si>
    <t>C13</t>
  </si>
  <si>
    <t>56 pF</t>
  </si>
  <si>
    <r>
      <rPr>
        <sz val="10"/>
        <rFont val="Calibri"/>
        <family val="2"/>
      </rPr>
      <t xml:space="preserve">± </t>
    </r>
    <r>
      <rPr>
        <sz val="10"/>
        <rFont val="Arial"/>
        <family val="2"/>
      </rPr>
      <t>20%</t>
    </r>
  </si>
  <si>
    <t>Based on input capacitance of T1, 25V, ceramic</t>
  </si>
  <si>
    <t>35V</t>
  </si>
  <si>
    <t>0,0625 W</t>
  </si>
  <si>
    <t>D3</t>
  </si>
  <si>
    <t>MBR1H100SFT3G</t>
  </si>
  <si>
    <t>ON Semiconductor</t>
  </si>
  <si>
    <t>L2</t>
  </si>
  <si>
    <r>
      <t>±</t>
    </r>
    <r>
      <rPr>
        <sz val="10"/>
        <rFont val="Arial"/>
        <family val="2"/>
      </rPr>
      <t xml:space="preserve"> 10%</t>
    </r>
  </si>
  <si>
    <t>T1</t>
  </si>
  <si>
    <t>2N7002LT1G</t>
  </si>
  <si>
    <t xml:space="preserve">The components given in above table only represent the necessary components for DC2. All other components can be found back in the datasheet or by making use of the </t>
  </si>
  <si>
    <t>Disclaimer:</t>
  </si>
  <si>
    <t xml:space="preserve">  The component values given above are rough estimations and can only be used to make a first prediction of the required components.</t>
  </si>
  <si>
    <t xml:space="preserve">  One should always verify the component values under all operating conditions and if needed adjust the components.</t>
  </si>
  <si>
    <t xml:space="preserve">  This calculator assumes the loading on DC1 is kept to a minimum and the 20V regulator (V20V) is not used. It also assumes normal operating conditions.</t>
  </si>
  <si>
    <t>NCN5120 Calculator.</t>
  </si>
  <si>
    <t xml:space="preserve">  In no event can ON Semiconductor be held liable for any indirect, incidental, special or consequential damages or for any lost profits, lost savings, lost revenues</t>
  </si>
  <si>
    <t xml:space="preserve">  or lost data due to the results given above.</t>
  </si>
  <si>
    <t>Application note AND9149/D (see www.onsemi.com) gives additional explanation on the circuit and formulas.</t>
  </si>
</sst>
</file>

<file path=xl/styles.xml><?xml version="1.0" encoding="utf-8"?>
<styleSheet xmlns="http://schemas.openxmlformats.org/spreadsheetml/2006/main">
  <numFmts count="2">
    <numFmt numFmtId="164" formatCode="0.000"/>
    <numFmt numFmtId="165" formatCode="0.0"/>
  </numFmts>
  <fonts count="14">
    <font>
      <sz val="11"/>
      <color theme="1"/>
      <name val="Calibri"/>
      <family val="2"/>
      <scheme val="minor"/>
    </font>
    <font>
      <b/>
      <sz val="11"/>
      <color theme="1"/>
      <name val="Calibri"/>
      <family val="2"/>
      <scheme val="minor"/>
    </font>
    <font>
      <sz val="10"/>
      <name val="Arial"/>
      <family val="2"/>
    </font>
    <font>
      <b/>
      <sz val="11"/>
      <color theme="1"/>
      <name val="Symbol"/>
      <family val="1"/>
      <charset val="2"/>
    </font>
    <font>
      <sz val="10"/>
      <color theme="0" tint="-0.499984740745262"/>
      <name val="Calibri"/>
      <family val="2"/>
      <scheme val="minor"/>
    </font>
    <font>
      <b/>
      <u/>
      <sz val="18"/>
      <name val="Arial"/>
      <family val="2"/>
    </font>
    <font>
      <b/>
      <u/>
      <sz val="8"/>
      <name val="Arial"/>
      <family val="2"/>
    </font>
    <font>
      <sz val="8"/>
      <name val="Arial"/>
      <family val="2"/>
    </font>
    <font>
      <sz val="10"/>
      <color theme="0" tint="-0.499984740745262"/>
      <name val="Calibri"/>
      <family val="2"/>
    </font>
    <font>
      <b/>
      <sz val="9"/>
      <color theme="1"/>
      <name val="Calibri"/>
      <family val="2"/>
      <scheme val="minor"/>
    </font>
    <font>
      <sz val="10"/>
      <name val="Calibri"/>
      <family val="2"/>
    </font>
    <font>
      <u/>
      <sz val="11"/>
      <color theme="10"/>
      <name val="Calibri"/>
      <family val="2"/>
    </font>
    <font>
      <b/>
      <u/>
      <sz val="11"/>
      <color theme="1"/>
      <name val="Calibri"/>
      <family val="2"/>
      <scheme val="minor"/>
    </font>
    <font>
      <sz val="10"/>
      <color theme="1"/>
      <name val="Arial"/>
      <family val="2"/>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s>
  <cellStyleXfs count="2">
    <xf numFmtId="0" fontId="0" fillId="0" borderId="0"/>
    <xf numFmtId="0" fontId="11" fillId="0" borderId="0" applyNumberFormat="0" applyFill="0" applyBorder="0" applyAlignment="0" applyProtection="0">
      <alignment vertical="top"/>
      <protection locked="0"/>
    </xf>
  </cellStyleXfs>
  <cellXfs count="61">
    <xf numFmtId="0" fontId="0" fillId="0" borderId="0" xfId="0"/>
    <xf numFmtId="0" fontId="2" fillId="0" borderId="0" xfId="0" applyFont="1"/>
    <xf numFmtId="0" fontId="0" fillId="2" borderId="0" xfId="0" applyFill="1"/>
    <xf numFmtId="0" fontId="1" fillId="0" borderId="0" xfId="0" applyFont="1"/>
    <xf numFmtId="0" fontId="1" fillId="0" borderId="0" xfId="0" applyFont="1" applyAlignment="1">
      <alignment horizontal="right"/>
    </xf>
    <xf numFmtId="0" fontId="3" fillId="0" borderId="0" xfId="0" applyFont="1"/>
    <xf numFmtId="164" fontId="1" fillId="0" borderId="0" xfId="0" applyNumberFormat="1" applyFont="1"/>
    <xf numFmtId="2" fontId="1" fillId="0" borderId="0" xfId="0" applyNumberFormat="1" applyFont="1"/>
    <xf numFmtId="0" fontId="4" fillId="0" borderId="0" xfId="0" applyFont="1"/>
    <xf numFmtId="0" fontId="5" fillId="4" borderId="0" xfId="0" applyFont="1" applyFill="1" applyAlignment="1" applyProtection="1">
      <alignment vertical="center"/>
      <protection hidden="1"/>
    </xf>
    <xf numFmtId="0" fontId="2" fillId="4" borderId="0" xfId="0" applyFont="1" applyFill="1" applyProtection="1">
      <protection hidden="1"/>
    </xf>
    <xf numFmtId="0" fontId="0" fillId="4" borderId="0" xfId="0" applyFill="1" applyProtection="1">
      <protection hidden="1"/>
    </xf>
    <xf numFmtId="0" fontId="6" fillId="4" borderId="0" xfId="0" applyFont="1" applyFill="1" applyProtection="1">
      <protection hidden="1"/>
    </xf>
    <xf numFmtId="0" fontId="7" fillId="4" borderId="0" xfId="0" applyFont="1" applyFill="1" applyProtection="1">
      <protection hidden="1"/>
    </xf>
    <xf numFmtId="0" fontId="9" fillId="0" borderId="0" xfId="0" applyFont="1" applyFill="1" applyBorder="1" applyAlignment="1">
      <alignment horizontal="right"/>
    </xf>
    <xf numFmtId="1" fontId="1" fillId="0" borderId="0" xfId="0" applyNumberFormat="1" applyFont="1"/>
    <xf numFmtId="9" fontId="2" fillId="0" borderId="1" xfId="0" applyNumberFormat="1" applyFont="1" applyBorder="1" applyAlignment="1" applyProtection="1">
      <alignment horizontal="center"/>
      <protection hidden="1"/>
    </xf>
    <xf numFmtId="9" fontId="10" fillId="0" borderId="1" xfId="0" applyNumberFormat="1" applyFont="1" applyBorder="1" applyAlignment="1" applyProtection="1">
      <alignment horizontal="center"/>
      <protection hidden="1"/>
    </xf>
    <xf numFmtId="0" fontId="1" fillId="0" borderId="7"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xf numFmtId="0" fontId="1" fillId="0" borderId="11" xfId="0" applyFont="1" applyBorder="1"/>
    <xf numFmtId="0" fontId="0" fillId="0" borderId="11" xfId="0" applyBorder="1"/>
    <xf numFmtId="0" fontId="3" fillId="0" borderId="11" xfId="0" applyFont="1" applyBorder="1"/>
    <xf numFmtId="0" fontId="1" fillId="0" borderId="12" xfId="0" applyFont="1" applyBorder="1"/>
    <xf numFmtId="165" fontId="1" fillId="2" borderId="13" xfId="0" applyNumberFormat="1" applyFont="1" applyFill="1" applyBorder="1" applyProtection="1">
      <protection locked="0"/>
    </xf>
    <xf numFmtId="165" fontId="1" fillId="2" borderId="14" xfId="0" applyNumberFormat="1" applyFont="1" applyFill="1" applyBorder="1" applyProtection="1">
      <protection locked="0"/>
    </xf>
    <xf numFmtId="0" fontId="1" fillId="2" borderId="14" xfId="0" applyFont="1" applyFill="1" applyBorder="1" applyProtection="1">
      <protection locked="0"/>
    </xf>
    <xf numFmtId="0" fontId="1" fillId="2" borderId="15" xfId="0" applyFont="1" applyFill="1" applyBorder="1" applyProtection="1">
      <protection locked="0"/>
    </xf>
    <xf numFmtId="9" fontId="2" fillId="0" borderId="17" xfId="0" applyNumberFormat="1"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 fillId="0" borderId="19" xfId="0" applyFont="1" applyBorder="1" applyAlignment="1" applyProtection="1">
      <alignment horizontal="center"/>
      <protection hidden="1"/>
    </xf>
    <xf numFmtId="0" fontId="1" fillId="0" borderId="20" xfId="0" applyFont="1" applyBorder="1" applyAlignment="1" applyProtection="1">
      <alignment horizontal="center"/>
      <protection hidden="1"/>
    </xf>
    <xf numFmtId="0" fontId="1" fillId="0" borderId="21" xfId="0" applyFont="1" applyBorder="1" applyAlignment="1" applyProtection="1">
      <alignment horizontal="center"/>
      <protection hidden="1"/>
    </xf>
    <xf numFmtId="0" fontId="0" fillId="0" borderId="0" xfId="0" applyFont="1" applyProtection="1">
      <protection hidden="1"/>
    </xf>
    <xf numFmtId="0" fontId="0" fillId="0" borderId="16" xfId="0" applyFont="1" applyBorder="1" applyAlignment="1" applyProtection="1">
      <alignment horizontal="center"/>
      <protection hidden="1"/>
    </xf>
    <xf numFmtId="0" fontId="0" fillId="0" borderId="17" xfId="0" applyBorder="1" applyAlignment="1" applyProtection="1">
      <alignment horizontal="center"/>
      <protection hidden="1"/>
    </xf>
    <xf numFmtId="0" fontId="0" fillId="0" borderId="18" xfId="0" applyBorder="1" applyAlignment="1" applyProtection="1">
      <alignment horizontal="left"/>
      <protection hidden="1"/>
    </xf>
    <xf numFmtId="0" fontId="0" fillId="0" borderId="2" xfId="0" applyFont="1" applyBorder="1" applyAlignment="1" applyProtection="1">
      <alignment horizontal="center"/>
      <protection hidden="1"/>
    </xf>
    <xf numFmtId="0" fontId="0" fillId="0" borderId="1" xfId="0" applyFont="1" applyBorder="1" applyAlignment="1" applyProtection="1">
      <alignment horizontal="center"/>
      <protection hidden="1"/>
    </xf>
    <xf numFmtId="0" fontId="0" fillId="0" borderId="3" xfId="0" applyBorder="1" applyAlignment="1" applyProtection="1">
      <alignment horizontal="left"/>
      <protection hidden="1"/>
    </xf>
    <xf numFmtId="0" fontId="0" fillId="0" borderId="2" xfId="0" applyBorder="1" applyAlignment="1" applyProtection="1">
      <alignment horizontal="center"/>
      <protection hidden="1"/>
    </xf>
    <xf numFmtId="0" fontId="11" fillId="0" borderId="1" xfId="1" applyBorder="1" applyAlignment="1" applyProtection="1">
      <alignment horizontal="center"/>
      <protection hidden="1"/>
    </xf>
    <xf numFmtId="1" fontId="0" fillId="0" borderId="1" xfId="0" applyNumberFormat="1" applyBorder="1" applyAlignment="1" applyProtection="1">
      <alignment horizontal="center"/>
      <protection hidden="1"/>
    </xf>
    <xf numFmtId="2" fontId="0" fillId="0" borderId="1" xfId="0" applyNumberFormat="1" applyBorder="1" applyAlignment="1" applyProtection="1">
      <alignment horizontal="center"/>
      <protection hidden="1"/>
    </xf>
    <xf numFmtId="0" fontId="0" fillId="0" borderId="1" xfId="0" applyNumberFormat="1" applyBorder="1" applyAlignment="1" applyProtection="1">
      <alignment horizontal="center"/>
      <protection hidden="1"/>
    </xf>
    <xf numFmtId="0" fontId="0" fillId="0" borderId="1" xfId="0" applyBorder="1" applyAlignment="1" applyProtection="1">
      <alignment horizontal="center"/>
      <protection hidden="1"/>
    </xf>
    <xf numFmtId="0" fontId="0" fillId="0" borderId="4" xfId="0" applyBorder="1" applyAlignment="1" applyProtection="1">
      <alignment horizontal="center"/>
      <protection hidden="1"/>
    </xf>
    <xf numFmtId="0" fontId="11" fillId="0" borderId="5" xfId="1" applyBorder="1" applyAlignment="1" applyProtection="1">
      <alignment horizontal="center"/>
      <protection hidden="1"/>
    </xf>
    <xf numFmtId="0" fontId="0" fillId="0" borderId="5" xfId="0" applyBorder="1" applyProtection="1">
      <protection hidden="1"/>
    </xf>
    <xf numFmtId="0" fontId="0" fillId="0" borderId="6" xfId="0" applyBorder="1" applyAlignment="1" applyProtection="1">
      <alignment horizontal="left"/>
      <protection hidden="1"/>
    </xf>
    <xf numFmtId="0" fontId="11" fillId="0" borderId="0" xfId="1" applyAlignment="1" applyProtection="1">
      <alignment horizontal="left"/>
      <protection hidden="1"/>
    </xf>
    <xf numFmtId="0" fontId="0" fillId="0" borderId="0" xfId="0" applyAlignment="1" applyProtection="1">
      <protection hidden="1"/>
    </xf>
    <xf numFmtId="0" fontId="0" fillId="0" borderId="0" xfId="0" applyAlignment="1" applyProtection="1">
      <alignment horizontal="left"/>
      <protection hidden="1"/>
    </xf>
    <xf numFmtId="0" fontId="12" fillId="0" borderId="0" xfId="0" applyFont="1" applyAlignment="1" applyProtection="1">
      <alignment horizontal="left"/>
      <protection hidden="1"/>
    </xf>
    <xf numFmtId="0" fontId="13" fillId="0" borderId="0" xfId="0" applyFont="1" applyFill="1"/>
    <xf numFmtId="0" fontId="13" fillId="0" borderId="0" xfId="0" applyFont="1"/>
    <xf numFmtId="0" fontId="1" fillId="3" borderId="0" xfId="0" applyFont="1" applyFill="1" applyAlignment="1">
      <alignment horizontal="center"/>
    </xf>
    <xf numFmtId="0" fontId="1" fillId="0" borderId="0" xfId="0" applyFont="1" applyAlignment="1">
      <alignment horizontal="right"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onsemi.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onsemi.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onsemi.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1066800</xdr:colOff>
      <xdr:row>0</xdr:row>
      <xdr:rowOff>1514475</xdr:rowOff>
    </xdr:to>
    <xdr:pic>
      <xdr:nvPicPr>
        <xdr:cNvPr id="2" name="Picture 1" descr="ONBall-3DShadow-Lg_Small.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0"/>
          <a:ext cx="1514475" cy="1514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3</xdr:col>
      <xdr:colOff>295275</xdr:colOff>
      <xdr:row>0</xdr:row>
      <xdr:rowOff>1533525</xdr:rowOff>
    </xdr:to>
    <xdr:pic>
      <xdr:nvPicPr>
        <xdr:cNvPr id="3" name="Picture 2" descr="ONBall-3DShadow-Lg_Small.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8575" y="19050"/>
          <a:ext cx="1514475" cy="1514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704850</xdr:colOff>
      <xdr:row>0</xdr:row>
      <xdr:rowOff>1514475</xdr:rowOff>
    </xdr:to>
    <xdr:pic>
      <xdr:nvPicPr>
        <xdr:cNvPr id="2" name="Picture 1" descr="ONBall-3DShadow-Lg_Small.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0"/>
          <a:ext cx="1514475" cy="1514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nsemi.com/PowerSolutions/supportDoc.do?type=tools&amp;rpn=NCN5120" TargetMode="External"/><Relationship Id="rId7" Type="http://schemas.openxmlformats.org/officeDocument/2006/relationships/oleObject" Target="../embeddings/oleObject2.bin"/><Relationship Id="rId2" Type="http://schemas.openxmlformats.org/officeDocument/2006/relationships/hyperlink" Target="http://www.onsemi.com/PowerSolutions/product.do?id=2N7002L" TargetMode="External"/><Relationship Id="rId1" Type="http://schemas.openxmlformats.org/officeDocument/2006/relationships/hyperlink" Target="http://www.onsemi.com/PowerSolutions/product.do?id=MBR1H100SF"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B1:D32"/>
  <sheetViews>
    <sheetView showGridLines="0" showRowColHeaders="0" tabSelected="1" workbookViewId="0">
      <selection activeCell="B6" sqref="B6"/>
    </sheetView>
  </sheetViews>
  <sheetFormatPr defaultRowHeight="15"/>
  <cols>
    <col min="1" max="1" width="3" customWidth="1"/>
    <col min="2" max="2" width="3.7109375" customWidth="1"/>
    <col min="3" max="3" width="16.42578125" customWidth="1"/>
  </cols>
  <sheetData>
    <row r="1" spans="2:4" ht="127.5" customHeight="1">
      <c r="D1" s="9" t="s">
        <v>43</v>
      </c>
    </row>
    <row r="3" spans="2:4">
      <c r="B3" s="10" t="s">
        <v>25</v>
      </c>
    </row>
    <row r="4" spans="2:4">
      <c r="B4" s="10" t="s">
        <v>93</v>
      </c>
    </row>
    <row r="5" spans="2:4">
      <c r="B5" s="11"/>
    </row>
    <row r="6" spans="2:4">
      <c r="B6" s="57" t="s">
        <v>49</v>
      </c>
    </row>
    <row r="7" spans="2:4">
      <c r="B7" s="58" t="s">
        <v>42</v>
      </c>
    </row>
    <row r="12" spans="2:4">
      <c r="B12" s="12" t="s">
        <v>26</v>
      </c>
      <c r="C12" s="11"/>
    </row>
    <row r="13" spans="2:4">
      <c r="B13" s="13" t="s">
        <v>33</v>
      </c>
      <c r="C13" s="11"/>
    </row>
    <row r="14" spans="2:4">
      <c r="B14" s="13"/>
      <c r="C14" s="11"/>
    </row>
    <row r="15" spans="2:4">
      <c r="B15" s="13" t="s">
        <v>27</v>
      </c>
      <c r="C15" s="11"/>
    </row>
    <row r="16" spans="2:4">
      <c r="B16" s="13"/>
      <c r="C16" s="13" t="s">
        <v>32</v>
      </c>
    </row>
    <row r="17" spans="2:3">
      <c r="B17" s="13"/>
      <c r="C17" s="13"/>
    </row>
    <row r="18" spans="2:3">
      <c r="B18" s="13" t="s">
        <v>34</v>
      </c>
      <c r="C18" s="13"/>
    </row>
    <row r="19" spans="2:3">
      <c r="B19" s="13"/>
      <c r="C19" s="13" t="s">
        <v>35</v>
      </c>
    </row>
    <row r="20" spans="2:3">
      <c r="B20" s="13"/>
      <c r="C20" s="13"/>
    </row>
    <row r="21" spans="2:3">
      <c r="B21" s="13" t="s">
        <v>28</v>
      </c>
      <c r="C21" s="13"/>
    </row>
    <row r="22" spans="2:3">
      <c r="B22" s="13"/>
      <c r="C22" s="13" t="s">
        <v>36</v>
      </c>
    </row>
    <row r="23" spans="2:3">
      <c r="B23" s="13"/>
      <c r="C23" s="13"/>
    </row>
    <row r="24" spans="2:3">
      <c r="B24" s="13" t="s">
        <v>29</v>
      </c>
      <c r="C24" s="13"/>
    </row>
    <row r="25" spans="2:3">
      <c r="B25" s="13"/>
      <c r="C25" s="13" t="s">
        <v>37</v>
      </c>
    </row>
    <row r="26" spans="2:3">
      <c r="B26" s="13"/>
      <c r="C26" s="13" t="s">
        <v>38</v>
      </c>
    </row>
    <row r="27" spans="2:3">
      <c r="B27" s="13"/>
      <c r="C27" s="13"/>
    </row>
    <row r="28" spans="2:3">
      <c r="B28" s="13" t="s">
        <v>30</v>
      </c>
      <c r="C28" s="13"/>
    </row>
    <row r="29" spans="2:3">
      <c r="B29" s="13"/>
      <c r="C29" s="13" t="s">
        <v>39</v>
      </c>
    </row>
    <row r="30" spans="2:3">
      <c r="B30" s="13"/>
      <c r="C30" s="13" t="s">
        <v>40</v>
      </c>
    </row>
    <row r="31" spans="2:3">
      <c r="B31" s="13"/>
      <c r="C31" s="13" t="s">
        <v>31</v>
      </c>
    </row>
    <row r="32" spans="2:3">
      <c r="B32" s="13"/>
      <c r="C32" s="13" t="s">
        <v>41</v>
      </c>
    </row>
  </sheetData>
  <sheetProtection sheet="1" objects="1" scenarios="1"/>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G42"/>
  <sheetViews>
    <sheetView showGridLines="0" showRowColHeaders="0" workbookViewId="0">
      <selection activeCell="E1" sqref="E1"/>
    </sheetView>
  </sheetViews>
  <sheetFormatPr defaultRowHeight="15"/>
  <cols>
    <col min="1" max="1" width="2.7109375" customWidth="1"/>
    <col min="3" max="3" width="9.5703125" customWidth="1"/>
    <col min="4" max="4" width="6.85546875" customWidth="1"/>
  </cols>
  <sheetData>
    <row r="1" spans="5:5" ht="124.5" customHeight="1">
      <c r="E1" s="9" t="s">
        <v>43</v>
      </c>
    </row>
    <row r="21" spans="2:5" ht="15.75" thickBot="1">
      <c r="B21" s="59" t="s">
        <v>5</v>
      </c>
      <c r="C21" s="59"/>
      <c r="D21" s="59"/>
    </row>
    <row r="22" spans="2:5">
      <c r="B22" s="18" t="s">
        <v>50</v>
      </c>
      <c r="C22" s="26">
        <v>18</v>
      </c>
      <c r="D22" s="21" t="s">
        <v>0</v>
      </c>
      <c r="E22" s="8" t="s">
        <v>44</v>
      </c>
    </row>
    <row r="23" spans="2:5">
      <c r="B23" s="19" t="s">
        <v>51</v>
      </c>
      <c r="C23" s="27">
        <v>5</v>
      </c>
      <c r="D23" s="22" t="s">
        <v>1</v>
      </c>
      <c r="E23" s="8" t="s">
        <v>9</v>
      </c>
    </row>
    <row r="24" spans="2:5">
      <c r="B24" s="19" t="s">
        <v>7</v>
      </c>
      <c r="C24" s="28">
        <v>5</v>
      </c>
      <c r="D24" s="23"/>
      <c r="E24" s="8" t="s">
        <v>10</v>
      </c>
    </row>
    <row r="25" spans="2:5">
      <c r="B25" s="19" t="s">
        <v>8</v>
      </c>
      <c r="C25" s="28">
        <v>36</v>
      </c>
      <c r="D25" s="24" t="s">
        <v>2</v>
      </c>
      <c r="E25" s="8" t="s">
        <v>11</v>
      </c>
    </row>
    <row r="26" spans="2:5">
      <c r="B26" s="19" t="s">
        <v>12</v>
      </c>
      <c r="C26" s="28">
        <v>25</v>
      </c>
      <c r="D26" s="22" t="s">
        <v>13</v>
      </c>
      <c r="E26" s="8" t="s">
        <v>14</v>
      </c>
    </row>
    <row r="27" spans="2:5">
      <c r="B27" s="19" t="s">
        <v>15</v>
      </c>
      <c r="C27" s="27">
        <v>6</v>
      </c>
      <c r="D27" s="22" t="s">
        <v>0</v>
      </c>
      <c r="E27" s="8" t="s">
        <v>56</v>
      </c>
    </row>
    <row r="28" spans="2:5">
      <c r="B28" s="19" t="s">
        <v>18</v>
      </c>
      <c r="C28" s="28">
        <v>12</v>
      </c>
      <c r="D28" s="22" t="s">
        <v>0</v>
      </c>
      <c r="E28" s="8" t="s">
        <v>52</v>
      </c>
    </row>
    <row r="29" spans="2:5">
      <c r="B29" s="19" t="s">
        <v>19</v>
      </c>
      <c r="C29" s="28">
        <v>20</v>
      </c>
      <c r="D29" s="22" t="s">
        <v>20</v>
      </c>
      <c r="E29" s="8" t="s">
        <v>53</v>
      </c>
    </row>
    <row r="30" spans="2:5" ht="15.75" thickBot="1">
      <c r="B30" s="20" t="s">
        <v>23</v>
      </c>
      <c r="C30" s="29">
        <v>220</v>
      </c>
      <c r="D30" s="25" t="s">
        <v>21</v>
      </c>
      <c r="E30" s="8" t="s">
        <v>22</v>
      </c>
    </row>
    <row r="31" spans="2:5">
      <c r="B31" s="4"/>
    </row>
    <row r="35" spans="2:7" hidden="1">
      <c r="B35" s="59" t="s">
        <v>6</v>
      </c>
      <c r="C35" s="59"/>
      <c r="D35" s="59"/>
    </row>
    <row r="36" spans="2:7" hidden="1">
      <c r="B36" s="4" t="s">
        <v>45</v>
      </c>
      <c r="C36" s="7">
        <f>IF(RtopRbot!B23&lt;0,RtopRbot!H22,RtopRbot!B22)</f>
        <v>57.272727272727181</v>
      </c>
      <c r="D36" s="5" t="s">
        <v>3</v>
      </c>
    </row>
    <row r="37" spans="2:7" hidden="1">
      <c r="B37" s="4" t="s">
        <v>46</v>
      </c>
      <c r="C37" s="7">
        <f>IF(RtopRbot!B23&lt;0,"NA",RtopRbot!B23)</f>
        <v>15.180722891566239</v>
      </c>
      <c r="D37" s="5" t="s">
        <v>3</v>
      </c>
    </row>
    <row r="38" spans="2:7" hidden="1">
      <c r="B38" s="4" t="s">
        <v>47</v>
      </c>
      <c r="C38" s="6">
        <f>(C24*(C22/C25)*C26)/C27</f>
        <v>10.416666666666666</v>
      </c>
      <c r="D38" s="3" t="s">
        <v>4</v>
      </c>
    </row>
    <row r="39" spans="2:7" hidden="1">
      <c r="B39" s="60" t="s">
        <v>48</v>
      </c>
      <c r="C39" s="6">
        <f>0.15/(SQRT(2*C29*4/(1000*C30*(1/C28+1/(C22-C27))))-(C28*0.15/(C30)))</f>
        <v>2.5917475287990124</v>
      </c>
      <c r="D39" s="5" t="s">
        <v>2</v>
      </c>
      <c r="E39" s="8" t="s">
        <v>16</v>
      </c>
    </row>
    <row r="40" spans="2:7" hidden="1">
      <c r="B40" s="60"/>
      <c r="C40" s="6">
        <f>0.165/(SQRT(2*C29*5/(1000*C30*(1/C28+1/(C22-C27))))-(C28*0.25/(C30)))</f>
        <v>2.7400203457904735</v>
      </c>
      <c r="D40" s="5" t="s">
        <v>2</v>
      </c>
      <c r="E40" s="8" t="s">
        <v>17</v>
      </c>
      <c r="G40" t="s">
        <v>24</v>
      </c>
    </row>
    <row r="41" spans="2:7" hidden="1">
      <c r="B41" s="14" t="s">
        <v>54</v>
      </c>
      <c r="C41" s="15">
        <f>(1000*C24*C22/C25*C26/C27*C22)/(C29-5)</f>
        <v>12500</v>
      </c>
      <c r="D41" s="3" t="s">
        <v>13</v>
      </c>
      <c r="E41" s="8" t="s">
        <v>58</v>
      </c>
    </row>
    <row r="42" spans="2:7" hidden="1">
      <c r="B42" s="4" t="s">
        <v>55</v>
      </c>
      <c r="C42" s="15">
        <f>C24*1000*C22/C25*C26/(C29-5)</f>
        <v>4166.666666666667</v>
      </c>
      <c r="D42" s="3" t="s">
        <v>13</v>
      </c>
      <c r="E42" s="8" t="s">
        <v>57</v>
      </c>
    </row>
  </sheetData>
  <sheetProtection password="ECFD" sheet="1" objects="1" scenarios="1"/>
  <mergeCells count="3">
    <mergeCell ref="B21:D21"/>
    <mergeCell ref="B35:D35"/>
    <mergeCell ref="B39:B40"/>
  </mergeCells>
  <dataValidations count="9">
    <dataValidation type="decimal" allowBlank="1" showErrorMessage="1" errorTitle="Incorrect Value!" error="Please give a value between 12V and 30V." sqref="C22">
      <formula1>12</formula1>
      <formula2>30</formula2>
    </dataValidation>
    <dataValidation type="decimal" allowBlank="1" showErrorMessage="1" errorTitle="Incorrect Value!" error="Please give a percentage between 1 and 50%." sqref="C23">
      <formula1>1</formula1>
      <formula2>50</formula2>
    </dataValidation>
    <dataValidation type="whole" allowBlank="1" showErrorMessage="1" errorTitle="Incorrect Value!" error="Please give a value between 1 and 30." sqref="C24">
      <formula1>1</formula1>
      <formula2>30</formula2>
    </dataValidation>
    <dataValidation type="whole" allowBlank="1" showErrorMessage="1" errorTitle="Incorrect Value!" error="Please give a resistance between 1 and 1000 Ohm." sqref="C25">
      <formula1>1</formula1>
      <formula2>1000</formula2>
    </dataValidation>
    <dataValidation type="whole" allowBlank="1" showErrorMessage="1" errorTitle="Incorrect Value!" error="Please give a activation time between 1 and 1000 ms." sqref="C26">
      <formula1>1</formula1>
      <formula2>1000</formula2>
    </dataValidation>
    <dataValidation type="decimal" allowBlank="1" showErrorMessage="1" errorTitle="Incorrect Value!" error="Please give a voltage drop between 1V and 20V." sqref="C27">
      <formula1>1</formula1>
      <formula2>20</formula2>
    </dataValidation>
    <dataValidation type="whole" allowBlank="1" showErrorMessage="1" errorTitle="Incorrect Value!" error="Please give a VFILT voltage between 12V and 30V." sqref="C28">
      <formula1>12</formula1>
      <formula2>30</formula2>
    </dataValidation>
    <dataValidation type="decimal" allowBlank="1" showErrorMessage="1" errorTitle="Incorrect Value!" error="Please give a value between 5 mA and 26 mA." sqref="C29">
      <formula1>5</formula1>
      <formula2>26</formula2>
    </dataValidation>
    <dataValidation type="whole" allowBlank="1" showErrorMessage="1" errorTitle="Incorrect Value!" error="Please give an inductance between 1 and 1000 uH." sqref="C30">
      <formula1>1</formula1>
      <formula2>1000</formula2>
    </dataValidation>
  </dataValidations>
  <pageMargins left="0.70866141732283472" right="0.70866141732283472" top="0.74803149606299213" bottom="0.74803149606299213" header="0.31496062992125984" footer="0.31496062992125984"/>
  <pageSetup paperSize="9" scale="59" orientation="portrait" r:id="rId1"/>
  <drawing r:id="rId2"/>
  <legacyDrawing r:id="rId3"/>
  <oleObjects>
    <oleObject progId="Visio.Drawing.11" shapeId="2049" r:id="rId4"/>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N70"/>
  <sheetViews>
    <sheetView showGridLines="0" showRowColHeaders="0" workbookViewId="0">
      <selection activeCell="F54" sqref="F54"/>
    </sheetView>
  </sheetViews>
  <sheetFormatPr defaultRowHeight="15"/>
  <cols>
    <col min="1" max="1" width="3.7109375" style="32" customWidth="1"/>
    <col min="2" max="2" width="3.7109375" style="31" customWidth="1"/>
    <col min="3" max="3" width="8.42578125" style="31" bestFit="1" customWidth="1"/>
    <col min="4" max="4" width="15.7109375" style="32" bestFit="1" customWidth="1"/>
    <col min="5" max="5" width="11.5703125" style="32" customWidth="1"/>
    <col min="6" max="6" width="54.85546875" style="32" customWidth="1"/>
    <col min="7" max="12" width="9.140625" style="32"/>
    <col min="13" max="13" width="4.7109375" style="32" customWidth="1"/>
    <col min="14" max="14" width="18" style="32" customWidth="1"/>
    <col min="15" max="15" width="8.85546875" style="32" customWidth="1"/>
    <col min="16" max="16384" width="9.140625" style="32"/>
  </cols>
  <sheetData>
    <row r="1" spans="5:5" ht="123" customHeight="1">
      <c r="E1" s="9" t="s">
        <v>43</v>
      </c>
    </row>
    <row r="36" spans="3:6" ht="15.75" thickBot="1"/>
    <row r="37" spans="3:6" ht="15.75" thickBot="1">
      <c r="C37" s="33" t="s">
        <v>59</v>
      </c>
      <c r="D37" s="34" t="s">
        <v>60</v>
      </c>
      <c r="E37" s="34" t="s">
        <v>61</v>
      </c>
      <c r="F37" s="35" t="s">
        <v>62</v>
      </c>
    </row>
    <row r="38" spans="3:6" s="36" customFormat="1">
      <c r="C38" s="37" t="s">
        <v>71</v>
      </c>
      <c r="D38" s="38" t="s">
        <v>73</v>
      </c>
      <c r="E38" s="30" t="s">
        <v>69</v>
      </c>
      <c r="F38" s="39" t="s">
        <v>75</v>
      </c>
    </row>
    <row r="39" spans="3:6" s="36" customFormat="1">
      <c r="C39" s="40" t="s">
        <v>72</v>
      </c>
      <c r="D39" s="41" t="str">
        <f>ROUND(Calc!C38,2) &amp; " mF"</f>
        <v>10,42 mF</v>
      </c>
      <c r="E39" s="16" t="s">
        <v>74</v>
      </c>
      <c r="F39" s="42" t="s">
        <v>76</v>
      </c>
    </row>
    <row r="40" spans="3:6" s="36" customFormat="1">
      <c r="C40" s="43" t="s">
        <v>78</v>
      </c>
      <c r="D40" s="44" t="s">
        <v>79</v>
      </c>
      <c r="E40" s="16"/>
      <c r="F40" s="42" t="s">
        <v>80</v>
      </c>
    </row>
    <row r="41" spans="3:6" s="36" customFormat="1">
      <c r="C41" s="43" t="s">
        <v>81</v>
      </c>
      <c r="D41" s="45" t="str">
        <f>Calc!C30 &amp; " uH"</f>
        <v>220 uH</v>
      </c>
      <c r="E41" s="17" t="s">
        <v>82</v>
      </c>
      <c r="F41" s="42"/>
    </row>
    <row r="42" spans="3:6">
      <c r="C42" s="43" t="s">
        <v>63</v>
      </c>
      <c r="D42" s="46" t="str">
        <f>ROUND(Calc!C36,2) &amp; " Ohm"</f>
        <v>57,27 Ohm</v>
      </c>
      <c r="E42" s="17" t="s">
        <v>70</v>
      </c>
      <c r="F42" s="42" t="str">
        <f>"&gt; " &amp; ROUND((Calc!C22-3.3)^2/Calc!C36,2) &amp; " mW"</f>
        <v>&gt; 3,77 mW</v>
      </c>
    </row>
    <row r="43" spans="3:6">
      <c r="C43" s="43" t="s">
        <v>64</v>
      </c>
      <c r="D43" s="46" t="str">
        <f>ROUND(Calc!C37,2) &amp; " Ohm"</f>
        <v>15,18 Ohm</v>
      </c>
      <c r="E43" s="17" t="s">
        <v>70</v>
      </c>
      <c r="F43" s="42" t="str">
        <f>"&gt; " &amp; ROUND(3.3^2/Calc!C37,2) &amp; " mW"</f>
        <v>&gt; 0,72 mW</v>
      </c>
    </row>
    <row r="44" spans="3:6">
      <c r="C44" s="43" t="s">
        <v>65</v>
      </c>
      <c r="D44" s="47" t="str">
        <f>ROUND(Calc!C39,2) &amp; " Ohm"</f>
        <v>2,59 Ohm</v>
      </c>
      <c r="E44" s="17" t="s">
        <v>70</v>
      </c>
      <c r="F44" s="42" t="s">
        <v>77</v>
      </c>
    </row>
    <row r="45" spans="3:6">
      <c r="C45" s="43" t="s">
        <v>66</v>
      </c>
      <c r="D45" s="48" t="s">
        <v>68</v>
      </c>
      <c r="E45" s="16" t="s">
        <v>69</v>
      </c>
      <c r="F45" s="42" t="s">
        <v>77</v>
      </c>
    </row>
    <row r="46" spans="3:6">
      <c r="C46" s="43" t="s">
        <v>67</v>
      </c>
      <c r="D46" s="48" t="s">
        <v>68</v>
      </c>
      <c r="E46" s="16" t="s">
        <v>69</v>
      </c>
      <c r="F46" s="42" t="s">
        <v>77</v>
      </c>
    </row>
    <row r="47" spans="3:6" ht="15.75" thickBot="1">
      <c r="C47" s="49" t="s">
        <v>83</v>
      </c>
      <c r="D47" s="50" t="s">
        <v>84</v>
      </c>
      <c r="E47" s="51"/>
      <c r="F47" s="52" t="s">
        <v>80</v>
      </c>
    </row>
    <row r="49" spans="3:14">
      <c r="C49" s="54" t="s">
        <v>85</v>
      </c>
      <c r="D49" s="54"/>
      <c r="E49" s="54"/>
      <c r="F49" s="54"/>
      <c r="G49" s="54"/>
      <c r="H49" s="54"/>
      <c r="I49" s="54"/>
      <c r="J49" s="54"/>
      <c r="K49" s="54"/>
      <c r="L49" s="54"/>
      <c r="M49" s="54"/>
    </row>
    <row r="50" spans="3:14">
      <c r="C50" s="53" t="s">
        <v>90</v>
      </c>
      <c r="D50" s="55"/>
      <c r="E50" s="55"/>
      <c r="F50" s="55"/>
      <c r="G50" s="55"/>
      <c r="H50" s="55"/>
      <c r="I50" s="55"/>
      <c r="J50" s="55"/>
      <c r="K50" s="55"/>
      <c r="L50" s="55"/>
      <c r="M50" s="55"/>
      <c r="N50" s="53"/>
    </row>
    <row r="52" spans="3:14">
      <c r="C52" s="54" t="str">
        <f xml:space="preserve"> "With above components C13 will be fully charge in about "  &amp; ROUND(Calc!C41,0) &amp; " ms after power up. This means that after power up one should only activate the relays after " &amp; ROUND(Calc!C41,0) &amp; " ms."</f>
        <v>With above components C13 will be fully charge in about 12500 ms after power up. This means that after power up one should only activate the relays after 12500 ms.</v>
      </c>
    </row>
    <row r="53" spans="3:14">
      <c r="C53" s="54" t="str">
        <f xml:space="preserve"> "If one wants to decrease this time of " &amp; ROUND(Calc!C41,0) &amp; " ms, one should reduce the loading of the relays on V2 (higher resistance (&gt; " &amp; Calc!C25 &amp; " Ohm) and/or lower relays count (&lt; " &amp; Calc!C24 &amp; ")),"</f>
        <v>If one wants to decrease this time of 12500 ms, one should reduce the loading of the relays on V2 (higher resistance (&gt; 36 Ohm) and/or lower relays count (&lt; 5)),</v>
      </c>
    </row>
    <row r="54" spans="3:14">
      <c r="C54" s="32" t="str">
        <f>"reduce the activation time of the relays (&lt; " &amp; Calc!C26 &amp; " ms), increase the voltage drop on V2 (&gt; " &amp; Calc!C27 &amp; " V) or increase the maximum KNX bus loading (&gt; " &amp; Calc!C29 &amp; " mA)."</f>
        <v>reduce the activation time of the relays (&lt; 25 ms), increase the voltage drop on V2 (&gt; 6 V) or increase the maximum KNX bus loading (&gt; 20 mA).</v>
      </c>
    </row>
    <row r="55" spans="3:14">
      <c r="C55" s="55" t="str">
        <f xml:space="preserve"> "The maximum voltage on C13 will be " &amp; Calc!C22 &amp; " V (+/- " &amp; Calc!C23 &amp; " %) and will determine the energy stored inside the capacitor (the energy available to activate the relays)."</f>
        <v>The maximum voltage on C13 will be 18 V (+/- 5 %) and will determine the energy stored inside the capacitor (the energy available to activate the relays).</v>
      </c>
    </row>
    <row r="56" spans="3:14">
      <c r="C56" s="55" t="str">
        <f>"It's advised to take this voltage as high as possible (smaller cap for the same amount of energy). A too high value however would result in a long charge time of C13."</f>
        <v>It's advised to take this voltage as high as possible (smaller cap for the same amount of energy). A too high value however would result in a long charge time of C13.</v>
      </c>
    </row>
    <row r="57" spans="3:14">
      <c r="C57" s="55" t="str">
        <f xml:space="preserve"> "When activating the " &amp; Calc!C24 &amp; " relays (for " &amp; Calc!C26 &amp; " ms) the voltage on C13 will drop with " &amp; Calc!C27 &amp; " V down to " &amp; (Calc!C22-Calc!C27) &amp; " V. Make sure this voltage stays above the voltage required to drive the relays."</f>
        <v>When activating the 5 relays (for 25 ms) the voltage on C13 will drop with 6 V down to 12 V. Make sure this voltage stays above the voltage required to drive the relays.</v>
      </c>
    </row>
    <row r="58" spans="3:14">
      <c r="C58" s="55" t="str">
        <f>"It will take about " &amp; ROUND(Calc!C42,0) &amp; " ms to recharge C13 back to "&amp;  Calc!C22 &amp; " V (= time one has to wait before the next relay(s) can be switched). If one wants to reduce this time of " &amp; ROUND(Calc!C42,0) &amp; " ms,"</f>
        <v>It will take about 4167 ms to recharge C13 back to 18 V (= time one has to wait before the next relay(s) can be switched). If one wants to reduce this time of 4167 ms,</v>
      </c>
    </row>
    <row r="59" spans="3:14">
      <c r="C59" s="55" t="str">
        <f>"one should reduce the loading of the relays on V2 (higher resistance (&gt; " &amp; Calc!C25 &amp; " Ohm) and/or lower relays count (&lt; " &amp; Calc!C24 &amp; ")), reduce the activation time of the relays (&lt; " &amp; Calc!C26 &amp; " ms)"</f>
        <v>one should reduce the loading of the relays on V2 (higher resistance (&gt; 36 Ohm) and/or lower relays count (&lt; 5)), reduce the activation time of the relays (&lt; 25 ms)</v>
      </c>
    </row>
    <row r="60" spans="3:14">
      <c r="C60" s="55" t="str">
        <f>"or increase the maximum KNX bus loading (&gt; " &amp; Calc!C29 &amp; " mA)."</f>
        <v>or increase the maximum KNX bus loading (&gt; 20 mA).</v>
      </c>
    </row>
    <row r="61" spans="3:14">
      <c r="C61" s="55" t="str">
        <f xml:space="preserve"> "During switching of the " &amp; Calc!C24 &amp; " relays, the KNX bus current will not go above " &amp; Calc!C29 &amp; " mA."</f>
        <v>During switching of the 5 relays, the KNX bus current will not go above 20 mA.</v>
      </c>
    </row>
    <row r="64" spans="3:14">
      <c r="C64" s="56" t="s">
        <v>86</v>
      </c>
    </row>
    <row r="65" spans="3:3">
      <c r="C65" s="32" t="s">
        <v>89</v>
      </c>
    </row>
    <row r="66" spans="3:3">
      <c r="C66" s="55" t="s">
        <v>87</v>
      </c>
    </row>
    <row r="67" spans="3:3">
      <c r="C67" s="55" t="s">
        <v>88</v>
      </c>
    </row>
    <row r="68" spans="3:3">
      <c r="C68" s="55" t="s">
        <v>91</v>
      </c>
    </row>
    <row r="69" spans="3:3">
      <c r="C69" s="55" t="s">
        <v>92</v>
      </c>
    </row>
    <row r="70" spans="3:3">
      <c r="C70" s="55"/>
    </row>
  </sheetData>
  <sheetProtection password="ECFD" sheet="1" objects="1" scenarios="1"/>
  <hyperlinks>
    <hyperlink ref="D40" r:id="rId1"/>
    <hyperlink ref="D47" r:id="rId2"/>
    <hyperlink ref="C50" r:id="rId3" display="NCN5120 Calculator"/>
  </hyperlinks>
  <pageMargins left="0.70866141732283472" right="0.70866141732283472" top="0.74803149606299213" bottom="0.74803149606299213" header="0.31496062992125984" footer="0.31496062992125984"/>
  <pageSetup paperSize="9" scale="57" orientation="portrait" r:id="rId4"/>
  <drawing r:id="rId5"/>
  <legacyDrawing r:id="rId6"/>
  <oleObjects>
    <oleObject progId="Visio.Drawing.11" shapeId="3073" r:id="rId7"/>
  </oleObjects>
</worksheet>
</file>

<file path=xl/worksheets/sheet4.xml><?xml version="1.0" encoding="utf-8"?>
<worksheet xmlns="http://schemas.openxmlformats.org/spreadsheetml/2006/main" xmlns:r="http://schemas.openxmlformats.org/officeDocument/2006/relationships">
  <sheetPr codeName="Sheet4"/>
  <dimension ref="A7:K23"/>
  <sheetViews>
    <sheetView workbookViewId="0">
      <selection activeCell="K14" sqref="K14"/>
    </sheetView>
  </sheetViews>
  <sheetFormatPr defaultRowHeight="15"/>
  <cols>
    <col min="2" max="11" width="9.140625" customWidth="1"/>
  </cols>
  <sheetData>
    <row r="7" spans="1:3">
      <c r="A7" s="1"/>
      <c r="B7" s="2">
        <f>Calc!C22</f>
        <v>18</v>
      </c>
      <c r="C7" s="1"/>
    </row>
    <row r="8" spans="1:3">
      <c r="A8" s="1"/>
      <c r="B8" s="2">
        <f>Calc!C23</f>
        <v>5</v>
      </c>
      <c r="C8" s="1"/>
    </row>
    <row r="11" spans="1:3">
      <c r="A11" s="1"/>
      <c r="B11">
        <f>B7+(B7*B8/100)</f>
        <v>18.899999999999999</v>
      </c>
      <c r="C11" s="1"/>
    </row>
    <row r="12" spans="1:3">
      <c r="A12" s="1"/>
      <c r="B12">
        <f>B7-(B7*B8/100)</f>
        <v>17.100000000000001</v>
      </c>
      <c r="C12" s="1"/>
    </row>
    <row r="17" spans="1:11">
      <c r="A17" s="1"/>
      <c r="B17">
        <f>(B11-3.3)/3.3</f>
        <v>4.7272727272727266</v>
      </c>
    </row>
    <row r="18" spans="1:11">
      <c r="A18" s="1"/>
      <c r="B18">
        <f>(B12-3.3)/3.3</f>
        <v>4.1818181818181825</v>
      </c>
    </row>
    <row r="21" spans="1:11">
      <c r="E21" s="1"/>
      <c r="F21" s="1"/>
      <c r="G21" s="1"/>
      <c r="H21" s="1"/>
      <c r="J21" s="1"/>
      <c r="K21" s="1"/>
    </row>
    <row r="22" spans="1:11">
      <c r="A22" s="1"/>
      <c r="B22">
        <f>(B12-B11)/((1/140-1/60)*3.3)</f>
        <v>57.272727272727181</v>
      </c>
      <c r="E22">
        <f>((B11-3.3)/3.3)*60</f>
        <v>283.63636363636363</v>
      </c>
      <c r="F22">
        <f>((B12-3.3)/3.3)*140</f>
        <v>585.45454545454561</v>
      </c>
      <c r="G22">
        <f>ROUNDUP((E22+F22)/2,0)</f>
        <v>435</v>
      </c>
      <c r="H22">
        <f>((B7-3.3)/3.3)*100</f>
        <v>445.45454545454544</v>
      </c>
      <c r="J22">
        <f>((G22/60)*3.3)+3.3</f>
        <v>27.224999999999998</v>
      </c>
      <c r="K22">
        <f>((G22/140)*3.3)+3.3</f>
        <v>13.553571428571427</v>
      </c>
    </row>
    <row r="23" spans="1:11">
      <c r="A23" s="1"/>
      <c r="B23">
        <f>B22/(((B11-3.3)/3.3)-(B22/60))</f>
        <v>15.180722891566239</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Manual</vt:lpstr>
      <vt:lpstr>Calc</vt:lpstr>
      <vt:lpstr>Results</vt:lpstr>
      <vt:lpstr>RtopRbot</vt:lpstr>
    </vt:vector>
  </TitlesOfParts>
  <Company>ON Semiconductor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ffx3qc</dc:creator>
  <cp:lastModifiedBy>ffx3qc</cp:lastModifiedBy>
  <cp:lastPrinted>2013-08-02T09:39:51Z</cp:lastPrinted>
  <dcterms:created xsi:type="dcterms:W3CDTF">2013-04-18T06:33:34Z</dcterms:created>
  <dcterms:modified xsi:type="dcterms:W3CDTF">2013-08-09T06:44:37Z</dcterms:modified>
</cp:coreProperties>
</file>