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870" windowWidth="12915" windowHeight="11760"/>
  </bookViews>
  <sheets>
    <sheet name="FAN7688 Design Tool" sheetId="1" r:id="rId1"/>
    <sheet name="Sheet2" sheetId="2" state="hidden" r:id="rId2"/>
    <sheet name="Sheet3" sheetId="3" state="hidden" r:id="rId3"/>
  </sheets>
  <definedNames>
    <definedName name="Ae">'FAN7688 Design Tool'!$C$65</definedName>
    <definedName name="answer">'FAN7688 Design Tool'!$C$18</definedName>
    <definedName name="Attn1">'FAN7688 Design Tool'!$C$94</definedName>
    <definedName name="attn2">'FAN7688 Design Tool'!$C$95</definedName>
    <definedName name="Bmax">'FAN7688 Design Tool'!$C$66</definedName>
    <definedName name="C.DT">'FAN7688 Design Tool'!$C$118</definedName>
    <definedName name="Cdl">'FAN7688 Design Tool'!$C$11</definedName>
    <definedName name="CICS">'FAN7688 Design Tool'!$C$92</definedName>
    <definedName name="Cout">'FAN7688 Design Tool'!$C$79</definedName>
    <definedName name="Cr">'FAN7688 Design Tool'!$G$35</definedName>
    <definedName name="Crd">'FAN7688 Design Tool'!$C$37</definedName>
    <definedName name="Eff">'FAN7688 Design Tool'!$C$8</definedName>
    <definedName name="ESR">'FAN7688 Design Tool'!$C$80</definedName>
    <definedName name="f_min">'FAN7688 Design Tool'!$C$73</definedName>
    <definedName name="fo">'FAN7688 Design Tool'!$G$39</definedName>
    <definedName name="fod">'FAN7688 Design Tool'!$C$35</definedName>
    <definedName name="fs_nrm">'FAN7688 Design Tool'!$C$72</definedName>
    <definedName name="Io">'FAN7688 Design Tool'!$C$7</definedName>
    <definedName name="Io.olp">'FAN7688 Design Tool'!$C$85</definedName>
    <definedName name="Iocp">'FAN7688 Design Tool'!$C$71</definedName>
    <definedName name="k">'FAN7688 Design Tool'!$J$1</definedName>
    <definedName name="Lp">'FAN7688 Design Tool'!$G$37</definedName>
    <definedName name="Lr">'FAN7688 Design Tool'!$G$36</definedName>
    <definedName name="Lrd">'FAN7688 Design Tool'!$C$38</definedName>
    <definedName name="M_min">'FAN7688 Design Tool'!$C$24</definedName>
    <definedName name="Ma">'FAN7688 Design Tool'!$G$40</definedName>
    <definedName name="MC">Sheet3!$B$4</definedName>
    <definedName name="mm">'FAN7688 Design Tool'!$C$14</definedName>
    <definedName name="Mv">'FAN7688 Design Tool'!$C$40</definedName>
    <definedName name="n">'FAN7688 Design Tool'!$G$4</definedName>
    <definedName name="nct">'FAN7688 Design Tool'!$C$86</definedName>
    <definedName name="nn">'FAN7688 Design Tool'!$G$28</definedName>
    <definedName name="Np">'FAN7688 Design Tool'!$G$66</definedName>
    <definedName name="Ns">'FAN7688 Design Tool'!$C$68</definedName>
    <definedName name="Pin">'FAN7688 Design Tool'!$G$7</definedName>
    <definedName name="Po">'FAN7688 Design Tool'!$G$6</definedName>
    <definedName name="Q">'FAN7688 Design Tool'!$G$38</definedName>
    <definedName name="Qd">'FAN7688 Design Tool'!$C$36</definedName>
    <definedName name="R.DT">'FAN7688 Design Tool'!$C$119</definedName>
    <definedName name="Rac">'FAN7688 Design Tool'!$G$31</definedName>
    <definedName name="Ro">Sheet3!$B$9</definedName>
    <definedName name="Thu">'FAN7688 Design Tool'!$C$10</definedName>
    <definedName name="u">'FAN7688 Design Tool'!$G$3</definedName>
    <definedName name="VF">'FAN7688 Design Tool'!$C$28</definedName>
    <definedName name="Vin_max">'FAN7688 Design Tool'!$C$9</definedName>
    <definedName name="Vin_min">'FAN7688 Design Tool'!$G$9</definedName>
    <definedName name="Vo">'FAN7688 Design Tool'!$C$6</definedName>
    <definedName name="wm">Sheet3!$D$10</definedName>
    <definedName name="wo">Sheet3!$B$1</definedName>
    <definedName name="wp">Sheet3!$B$2</definedName>
  </definedNames>
  <calcPr calcId="125725" concurrentCalc="0"/>
</workbook>
</file>

<file path=xl/calcChain.xml><?xml version="1.0" encoding="utf-8"?>
<calcChain xmlns="http://schemas.openxmlformats.org/spreadsheetml/2006/main">
  <c r="C90" i="1"/>
  <c r="G28"/>
  <c r="Q39" i="2"/>
  <c r="Q38"/>
  <c r="Q37"/>
  <c r="Q36"/>
  <c r="Q35"/>
  <c r="Q34"/>
  <c r="Q33"/>
  <c r="Q32"/>
  <c r="Q31"/>
  <c r="Q30"/>
  <c r="Q29"/>
  <c r="Q28"/>
  <c r="P28"/>
  <c r="P29"/>
  <c r="P30"/>
  <c r="P31"/>
  <c r="P32"/>
  <c r="P33"/>
  <c r="P34"/>
  <c r="P35"/>
  <c r="P36"/>
  <c r="P37"/>
  <c r="P38"/>
  <c r="P39"/>
  <c r="O39"/>
  <c r="O38"/>
  <c r="O37"/>
  <c r="O36"/>
  <c r="O35"/>
  <c r="O34"/>
  <c r="O33"/>
  <c r="O32"/>
  <c r="O31"/>
  <c r="O30"/>
  <c r="O29"/>
  <c r="O28"/>
  <c r="B1" i="3"/>
  <c r="B2"/>
  <c r="P27"/>
  <c r="P21"/>
  <c r="P20"/>
  <c r="P16"/>
  <c r="P15"/>
  <c r="D1"/>
  <c r="N39" i="2"/>
  <c r="M39"/>
  <c r="L39"/>
  <c r="K39"/>
  <c r="J39"/>
  <c r="I39"/>
  <c r="H39"/>
  <c r="G39"/>
  <c r="F39"/>
  <c r="E39"/>
  <c r="N38"/>
  <c r="M38"/>
  <c r="L38"/>
  <c r="K38"/>
  <c r="J38"/>
  <c r="I38"/>
  <c r="H38"/>
  <c r="G38"/>
  <c r="F38"/>
  <c r="E38"/>
  <c r="N37"/>
  <c r="M37"/>
  <c r="L37"/>
  <c r="K37"/>
  <c r="J37"/>
  <c r="I37"/>
  <c r="H37"/>
  <c r="G37"/>
  <c r="F37"/>
  <c r="E37"/>
  <c r="N36"/>
  <c r="M36"/>
  <c r="L36"/>
  <c r="K36"/>
  <c r="J36"/>
  <c r="I36"/>
  <c r="H36"/>
  <c r="G36"/>
  <c r="F36"/>
  <c r="E36"/>
  <c r="N35"/>
  <c r="M35"/>
  <c r="L35"/>
  <c r="K35"/>
  <c r="J35"/>
  <c r="I35"/>
  <c r="H35"/>
  <c r="G35"/>
  <c r="F35"/>
  <c r="E35"/>
  <c r="N34"/>
  <c r="M34"/>
  <c r="L34"/>
  <c r="K34"/>
  <c r="J34"/>
  <c r="I34"/>
  <c r="H34"/>
  <c r="G34"/>
  <c r="F34"/>
  <c r="E34"/>
  <c r="N33"/>
  <c r="M33"/>
  <c r="L33"/>
  <c r="K33"/>
  <c r="J33"/>
  <c r="I33"/>
  <c r="H33"/>
  <c r="G33"/>
  <c r="F33"/>
  <c r="E33"/>
  <c r="N32"/>
  <c r="M32"/>
  <c r="L32"/>
  <c r="K32"/>
  <c r="J32"/>
  <c r="I32"/>
  <c r="H32"/>
  <c r="G32"/>
  <c r="F32"/>
  <c r="E32"/>
  <c r="N31"/>
  <c r="M31"/>
  <c r="L31"/>
  <c r="K31"/>
  <c r="J31"/>
  <c r="I31"/>
  <c r="H31"/>
  <c r="G31"/>
  <c r="F31"/>
  <c r="E31"/>
  <c r="N30"/>
  <c r="M30"/>
  <c r="L30"/>
  <c r="K30"/>
  <c r="J30"/>
  <c r="I30"/>
  <c r="H30"/>
  <c r="G30"/>
  <c r="F30"/>
  <c r="E30"/>
  <c r="N29"/>
  <c r="M29"/>
  <c r="L29"/>
  <c r="K29"/>
  <c r="J29"/>
  <c r="I29"/>
  <c r="H29"/>
  <c r="G29"/>
  <c r="F29"/>
  <c r="E29"/>
  <c r="N28"/>
  <c r="M28"/>
  <c r="L28"/>
  <c r="K28"/>
  <c r="J28"/>
  <c r="I28"/>
  <c r="H28"/>
  <c r="G28"/>
  <c r="F28"/>
  <c r="E28"/>
  <c r="D39"/>
  <c r="D38"/>
  <c r="D37"/>
  <c r="D36"/>
  <c r="D35"/>
  <c r="D34"/>
  <c r="D33"/>
  <c r="D32"/>
  <c r="D31"/>
  <c r="D30"/>
  <c r="D29"/>
  <c r="D28"/>
  <c r="C127" i="1"/>
  <c r="C125"/>
  <c r="C121"/>
  <c r="C120"/>
  <c r="C112"/>
  <c r="C108"/>
  <c r="C106"/>
  <c r="C103"/>
  <c r="C96"/>
  <c r="C85"/>
  <c r="C101"/>
  <c r="G79"/>
  <c r="G78"/>
  <c r="G77"/>
  <c r="G68"/>
  <c r="G40"/>
  <c r="F29"/>
  <c r="C19"/>
  <c r="G7"/>
  <c r="G8"/>
  <c r="G10"/>
  <c r="G6"/>
  <c r="C40"/>
  <c r="B4" i="3"/>
  <c r="G66" i="1"/>
  <c r="G31"/>
  <c r="P17" i="3"/>
  <c r="P26"/>
  <c r="B3"/>
  <c r="P25"/>
  <c r="C97" i="1"/>
  <c r="G72"/>
  <c r="G73"/>
  <c r="C37"/>
  <c r="C38"/>
  <c r="C39"/>
  <c r="P22" i="3"/>
  <c r="C25" i="1"/>
  <c r="G38"/>
  <c r="G39"/>
  <c r="G67"/>
  <c r="C83"/>
  <c r="G65"/>
  <c r="G74"/>
  <c r="C91"/>
  <c r="G80"/>
  <c r="G71"/>
  <c r="C98"/>
  <c r="A7" i="3"/>
  <c r="C87" i="1"/>
  <c r="C116"/>
  <c r="C117"/>
  <c r="A8" i="3"/>
  <c r="B7"/>
  <c r="B8"/>
  <c r="A9"/>
  <c r="E7"/>
  <c r="D7"/>
  <c r="G7"/>
  <c r="F7"/>
  <c r="C7"/>
  <c r="G8"/>
  <c r="F8"/>
  <c r="E8"/>
  <c r="C8"/>
  <c r="D8"/>
  <c r="B9"/>
  <c r="A10"/>
  <c r="A11"/>
  <c r="B10"/>
  <c r="D9"/>
  <c r="G9"/>
  <c r="P18"/>
  <c r="F9"/>
  <c r="E9"/>
  <c r="C9"/>
  <c r="E10"/>
  <c r="G10"/>
  <c r="D10"/>
  <c r="P23"/>
  <c r="F10"/>
  <c r="C10"/>
  <c r="A12"/>
  <c r="B11"/>
  <c r="B12"/>
  <c r="A13"/>
  <c r="G11"/>
  <c r="E11"/>
  <c r="F11"/>
  <c r="C11"/>
  <c r="D11"/>
  <c r="A14"/>
  <c r="B13"/>
  <c r="E12"/>
  <c r="D12"/>
  <c r="F12"/>
  <c r="G12"/>
  <c r="C12"/>
  <c r="D13"/>
  <c r="E13"/>
  <c r="C13"/>
  <c r="G13"/>
  <c r="F13"/>
  <c r="B14"/>
  <c r="A15"/>
  <c r="G14"/>
  <c r="F14"/>
  <c r="D14"/>
  <c r="C14"/>
  <c r="E14"/>
  <c r="A16"/>
  <c r="B15"/>
  <c r="G15"/>
  <c r="C15"/>
  <c r="D15"/>
  <c r="F15"/>
  <c r="E15"/>
  <c r="B16"/>
  <c r="A17"/>
  <c r="C16"/>
  <c r="F16"/>
  <c r="G16"/>
  <c r="E16"/>
  <c r="D16"/>
  <c r="B17"/>
  <c r="A18"/>
  <c r="E17"/>
  <c r="C17"/>
  <c r="D17"/>
  <c r="G17"/>
  <c r="F17"/>
  <c r="A19"/>
  <c r="B18"/>
  <c r="A20"/>
  <c r="B19"/>
  <c r="D18"/>
  <c r="C18"/>
  <c r="G18"/>
  <c r="F18"/>
  <c r="E18"/>
  <c r="B20"/>
  <c r="A21"/>
  <c r="G19"/>
  <c r="F19"/>
  <c r="D19"/>
  <c r="E19"/>
  <c r="C19"/>
  <c r="D20"/>
  <c r="E20"/>
  <c r="F20"/>
  <c r="G20"/>
  <c r="C20"/>
  <c r="B21"/>
  <c r="A22"/>
  <c r="A23"/>
  <c r="B22"/>
  <c r="E21"/>
  <c r="G21"/>
  <c r="D21"/>
  <c r="F21"/>
  <c r="C21"/>
  <c r="A24"/>
  <c r="B23"/>
  <c r="G22"/>
  <c r="F22"/>
  <c r="E22"/>
  <c r="D22"/>
  <c r="C22"/>
  <c r="C23"/>
  <c r="D23"/>
  <c r="G23"/>
  <c r="F23"/>
  <c r="E23"/>
  <c r="B24"/>
  <c r="A25"/>
  <c r="F24"/>
  <c r="G24"/>
  <c r="E24"/>
  <c r="D24"/>
  <c r="C24"/>
  <c r="B25"/>
  <c r="A26"/>
  <c r="A27"/>
  <c r="B26"/>
  <c r="E25"/>
  <c r="F25"/>
  <c r="C25"/>
  <c r="D25"/>
  <c r="G25"/>
  <c r="A28"/>
  <c r="B27"/>
  <c r="E26"/>
  <c r="D26"/>
  <c r="C26"/>
  <c r="G26"/>
  <c r="F26"/>
  <c r="B28"/>
  <c r="A29"/>
  <c r="C27"/>
  <c r="F27"/>
  <c r="E27"/>
  <c r="D27"/>
  <c r="G27"/>
  <c r="A30"/>
  <c r="B29"/>
  <c r="E28"/>
  <c r="G28"/>
  <c r="F28"/>
  <c r="C28"/>
  <c r="D28"/>
  <c r="B30"/>
  <c r="A31"/>
  <c r="C29"/>
  <c r="E29"/>
  <c r="D29"/>
  <c r="F29"/>
  <c r="G29"/>
  <c r="E30"/>
  <c r="C30"/>
  <c r="D30"/>
  <c r="F30"/>
  <c r="G30"/>
  <c r="A32"/>
  <c r="B31"/>
  <c r="G31"/>
  <c r="E31"/>
  <c r="F31"/>
  <c r="D31"/>
  <c r="C31"/>
  <c r="A33"/>
  <c r="B32"/>
  <c r="B33"/>
  <c r="A34"/>
  <c r="G32"/>
  <c r="C32"/>
  <c r="F32"/>
  <c r="E32"/>
  <c r="D32"/>
  <c r="C33"/>
  <c r="F33"/>
  <c r="D33"/>
  <c r="E33"/>
  <c r="G33"/>
  <c r="A35"/>
  <c r="B34"/>
  <c r="G34"/>
  <c r="F34"/>
  <c r="E34"/>
  <c r="C34"/>
  <c r="D34"/>
  <c r="A36"/>
  <c r="B35"/>
  <c r="D35"/>
  <c r="G35"/>
  <c r="E35"/>
  <c r="C35"/>
  <c r="F35"/>
  <c r="B36"/>
  <c r="A37"/>
  <c r="B37"/>
  <c r="A38"/>
  <c r="D36"/>
  <c r="E36"/>
  <c r="C36"/>
  <c r="F36"/>
  <c r="G36"/>
  <c r="B38"/>
  <c r="A39"/>
  <c r="C37"/>
  <c r="G37"/>
  <c r="F37"/>
  <c r="E37"/>
  <c r="D37"/>
  <c r="G38"/>
  <c r="C38"/>
  <c r="D38"/>
  <c r="E38"/>
  <c r="F38"/>
  <c r="B39"/>
  <c r="A40"/>
  <c r="A41"/>
  <c r="B40"/>
  <c r="E39"/>
  <c r="F39"/>
  <c r="D39"/>
  <c r="C39"/>
  <c r="G39"/>
  <c r="B41"/>
  <c r="A42"/>
  <c r="G40"/>
  <c r="F40"/>
  <c r="C40"/>
  <c r="D40"/>
  <c r="E40"/>
  <c r="B42"/>
  <c r="A43"/>
  <c r="F41"/>
  <c r="E41"/>
  <c r="D41"/>
  <c r="C41"/>
  <c r="G41"/>
  <c r="G42"/>
  <c r="C42"/>
  <c r="E42"/>
  <c r="F42"/>
  <c r="D42"/>
  <c r="B43"/>
  <c r="A44"/>
  <c r="E43"/>
  <c r="G43"/>
  <c r="C43"/>
  <c r="D43"/>
  <c r="F43"/>
  <c r="B44"/>
  <c r="A45"/>
  <c r="D44"/>
  <c r="G44"/>
  <c r="F44"/>
  <c r="C44"/>
  <c r="E44"/>
  <c r="B45"/>
  <c r="A46"/>
  <c r="B46"/>
  <c r="A47"/>
  <c r="F45"/>
  <c r="G45"/>
  <c r="C45"/>
  <c r="D45"/>
  <c r="E45"/>
  <c r="D46"/>
  <c r="C46"/>
  <c r="G46"/>
  <c r="E46"/>
  <c r="F46"/>
  <c r="B47"/>
  <c r="A48"/>
  <c r="F47"/>
  <c r="E47"/>
  <c r="C47"/>
  <c r="D47"/>
  <c r="G47"/>
  <c r="B48"/>
  <c r="A49"/>
  <c r="C48"/>
  <c r="D48"/>
  <c r="F48"/>
  <c r="E48"/>
  <c r="G48"/>
  <c r="B49"/>
  <c r="A50"/>
  <c r="E49"/>
  <c r="D49"/>
  <c r="C49"/>
  <c r="F49"/>
  <c r="G49"/>
  <c r="A51"/>
  <c r="B50"/>
  <c r="G50"/>
  <c r="F50"/>
  <c r="C50"/>
  <c r="E50"/>
  <c r="D50"/>
  <c r="A52"/>
  <c r="B51"/>
  <c r="F51"/>
  <c r="E51"/>
  <c r="G51"/>
  <c r="D51"/>
  <c r="C51"/>
  <c r="B52"/>
  <c r="A53"/>
  <c r="B53"/>
  <c r="A54"/>
  <c r="G52"/>
  <c r="C52"/>
  <c r="E52"/>
  <c r="D52"/>
  <c r="F52"/>
  <c r="A55"/>
  <c r="B54"/>
  <c r="F53"/>
  <c r="E53"/>
  <c r="C53"/>
  <c r="G53"/>
  <c r="D53"/>
  <c r="A56"/>
  <c r="B55"/>
  <c r="C54"/>
  <c r="G54"/>
  <c r="E54"/>
  <c r="D54"/>
  <c r="F54"/>
  <c r="B56"/>
  <c r="A57"/>
  <c r="E55"/>
  <c r="C55"/>
  <c r="F55"/>
  <c r="D55"/>
  <c r="G55"/>
  <c r="B57"/>
  <c r="A58"/>
  <c r="G56"/>
  <c r="E56"/>
  <c r="F56"/>
  <c r="D56"/>
  <c r="C56"/>
  <c r="F57"/>
  <c r="G57"/>
  <c r="D57"/>
  <c r="C57"/>
  <c r="E57"/>
  <c r="A59"/>
  <c r="B58"/>
  <c r="E58"/>
  <c r="G58"/>
  <c r="C58"/>
  <c r="F58"/>
  <c r="D58"/>
  <c r="B59"/>
  <c r="A60"/>
  <c r="B60"/>
  <c r="A61"/>
  <c r="E59"/>
  <c r="F59"/>
  <c r="G59"/>
  <c r="D59"/>
  <c r="C59"/>
  <c r="G60"/>
  <c r="C60"/>
  <c r="F60"/>
  <c r="E60"/>
  <c r="D60"/>
  <c r="A62"/>
  <c r="B61"/>
  <c r="E61"/>
  <c r="G61"/>
  <c r="F61"/>
  <c r="C61"/>
  <c r="D61"/>
  <c r="A63"/>
  <c r="B62"/>
  <c r="C62"/>
  <c r="D62"/>
  <c r="G62"/>
  <c r="F62"/>
  <c r="E62"/>
  <c r="A64"/>
  <c r="B63"/>
  <c r="D63"/>
  <c r="E63"/>
  <c r="C63"/>
  <c r="F63"/>
  <c r="G63"/>
  <c r="B64"/>
  <c r="A65"/>
  <c r="C64"/>
  <c r="F64"/>
  <c r="E64"/>
  <c r="D64"/>
  <c r="G64"/>
  <c r="A66"/>
  <c r="B65"/>
  <c r="B66"/>
  <c r="A67"/>
  <c r="E65"/>
  <c r="D65"/>
  <c r="C65"/>
  <c r="G65"/>
  <c r="F65"/>
  <c r="B67"/>
  <c r="A68"/>
  <c r="F66"/>
  <c r="C66"/>
  <c r="G66"/>
  <c r="D66"/>
  <c r="E66"/>
  <c r="B68"/>
  <c r="A69"/>
  <c r="D67"/>
  <c r="E67"/>
  <c r="F67"/>
  <c r="C67"/>
  <c r="G67"/>
  <c r="B69"/>
  <c r="A70"/>
  <c r="E68"/>
  <c r="F68"/>
  <c r="G68"/>
  <c r="C68"/>
  <c r="D68"/>
  <c r="C69"/>
  <c r="E69"/>
  <c r="G69"/>
  <c r="D69"/>
  <c r="F69"/>
  <c r="A71"/>
  <c r="B70"/>
  <c r="A72"/>
  <c r="B71"/>
  <c r="C70"/>
  <c r="G70"/>
  <c r="E70"/>
  <c r="D70"/>
  <c r="F70"/>
  <c r="B72"/>
  <c r="A73"/>
  <c r="D71"/>
  <c r="F71"/>
  <c r="G71"/>
  <c r="E71"/>
  <c r="C71"/>
  <c r="E72"/>
  <c r="F72"/>
  <c r="D72"/>
  <c r="G72"/>
  <c r="C72"/>
  <c r="B73"/>
  <c r="A74"/>
  <c r="E73"/>
  <c r="F73"/>
  <c r="G73"/>
  <c r="C73"/>
  <c r="D73"/>
  <c r="A75"/>
  <c r="B74"/>
  <c r="B75"/>
  <c r="A76"/>
  <c r="G74"/>
  <c r="E74"/>
  <c r="F74"/>
  <c r="C74"/>
  <c r="D74"/>
  <c r="C75"/>
  <c r="D75"/>
  <c r="E75"/>
  <c r="F75"/>
  <c r="G75"/>
  <c r="B76"/>
  <c r="A77"/>
  <c r="B77"/>
  <c r="A78"/>
  <c r="F76"/>
  <c r="G76"/>
  <c r="D76"/>
  <c r="C76"/>
  <c r="E76"/>
  <c r="A79"/>
  <c r="B78"/>
  <c r="D77"/>
  <c r="F77"/>
  <c r="C77"/>
  <c r="E77"/>
  <c r="G77"/>
  <c r="A80"/>
  <c r="B79"/>
  <c r="G78"/>
  <c r="F78"/>
  <c r="C78"/>
  <c r="D78"/>
  <c r="E78"/>
  <c r="B80"/>
  <c r="A81"/>
  <c r="C79"/>
  <c r="F79"/>
  <c r="E79"/>
  <c r="D79"/>
  <c r="G79"/>
  <c r="D80"/>
  <c r="C80"/>
  <c r="E80"/>
  <c r="G80"/>
  <c r="F80"/>
  <c r="B81"/>
  <c r="A82"/>
  <c r="A83"/>
  <c r="B82"/>
  <c r="F81"/>
  <c r="D81"/>
  <c r="G81"/>
  <c r="C81"/>
  <c r="E81"/>
  <c r="B83"/>
  <c r="A84"/>
  <c r="D82"/>
  <c r="C82"/>
  <c r="G82"/>
  <c r="E82"/>
  <c r="F82"/>
  <c r="G83"/>
  <c r="C83"/>
  <c r="E83"/>
  <c r="D83"/>
  <c r="F83"/>
  <c r="B84"/>
  <c r="A85"/>
  <c r="A86"/>
  <c r="B85"/>
  <c r="C84"/>
  <c r="F84"/>
  <c r="G84"/>
  <c r="D84"/>
  <c r="E84"/>
  <c r="F85"/>
  <c r="E85"/>
  <c r="D85"/>
  <c r="G85"/>
  <c r="C85"/>
  <c r="B86"/>
  <c r="A87"/>
  <c r="A88"/>
  <c r="B87"/>
  <c r="D86"/>
  <c r="G86"/>
  <c r="E86"/>
  <c r="F86"/>
  <c r="C86"/>
  <c r="A89"/>
  <c r="B88"/>
  <c r="F87"/>
  <c r="C87"/>
  <c r="D87"/>
  <c r="G87"/>
  <c r="E87"/>
  <c r="B89"/>
  <c r="A90"/>
  <c r="C88"/>
  <c r="E88"/>
  <c r="G88"/>
  <c r="D88"/>
  <c r="F88"/>
  <c r="A91"/>
  <c r="B90"/>
  <c r="F89"/>
  <c r="E89"/>
  <c r="C89"/>
  <c r="D89"/>
  <c r="G89"/>
  <c r="A92"/>
  <c r="B91"/>
  <c r="C90"/>
  <c r="D90"/>
  <c r="G90"/>
  <c r="E90"/>
  <c r="F90"/>
  <c r="A93"/>
  <c r="B92"/>
  <c r="F91"/>
  <c r="C91"/>
  <c r="D91"/>
  <c r="G91"/>
  <c r="E91"/>
  <c r="B93"/>
  <c r="A94"/>
  <c r="E92"/>
  <c r="D92"/>
  <c r="G92"/>
  <c r="C92"/>
  <c r="F92"/>
  <c r="C93"/>
  <c r="E93"/>
  <c r="D93"/>
  <c r="F93"/>
  <c r="G93"/>
  <c r="A95"/>
  <c r="B94"/>
  <c r="A96"/>
  <c r="B95"/>
  <c r="D94"/>
  <c r="E94"/>
  <c r="F94"/>
  <c r="C94"/>
  <c r="G94"/>
  <c r="A97"/>
  <c r="B96"/>
  <c r="D95"/>
  <c r="F95"/>
  <c r="C95"/>
  <c r="E95"/>
  <c r="G95"/>
  <c r="A98"/>
  <c r="B97"/>
  <c r="E96"/>
  <c r="D96"/>
  <c r="C96"/>
  <c r="F96"/>
  <c r="G96"/>
  <c r="B98"/>
  <c r="A99"/>
  <c r="G97"/>
  <c r="C97"/>
  <c r="E97"/>
  <c r="D97"/>
  <c r="F97"/>
  <c r="A100"/>
  <c r="B99"/>
  <c r="F98"/>
  <c r="D98"/>
  <c r="G98"/>
  <c r="E98"/>
  <c r="C98"/>
  <c r="B100"/>
  <c r="A101"/>
  <c r="G99"/>
  <c r="F99"/>
  <c r="D99"/>
  <c r="C99"/>
  <c r="E99"/>
  <c r="E100"/>
  <c r="F100"/>
  <c r="G100"/>
  <c r="D100"/>
  <c r="C100"/>
  <c r="B101"/>
  <c r="A102"/>
  <c r="A103"/>
  <c r="B102"/>
  <c r="E101"/>
  <c r="G101"/>
  <c r="C101"/>
  <c r="F101"/>
  <c r="D101"/>
  <c r="D102"/>
  <c r="C102"/>
  <c r="G102"/>
  <c r="E102"/>
  <c r="F102"/>
  <c r="A104"/>
  <c r="B103"/>
  <c r="G103"/>
  <c r="F103"/>
  <c r="E103"/>
  <c r="C103"/>
  <c r="D103"/>
  <c r="B104"/>
  <c r="A105"/>
  <c r="C104"/>
  <c r="E104"/>
  <c r="D104"/>
  <c r="F104"/>
  <c r="G104"/>
  <c r="B105"/>
  <c r="A106"/>
  <c r="E105"/>
  <c r="D105"/>
  <c r="F105"/>
  <c r="C105"/>
  <c r="G105"/>
  <c r="A107"/>
  <c r="B106"/>
  <c r="E106"/>
  <c r="F106"/>
  <c r="G106"/>
  <c r="D106"/>
  <c r="C106"/>
  <c r="A108"/>
  <c r="B107"/>
  <c r="E107"/>
  <c r="F107"/>
  <c r="C107"/>
  <c r="G107"/>
  <c r="D107"/>
  <c r="A109"/>
  <c r="B109"/>
  <c r="B108"/>
  <c r="D108"/>
  <c r="F108"/>
  <c r="G108"/>
  <c r="C108"/>
  <c r="E108"/>
  <c r="E109"/>
  <c r="F109"/>
  <c r="C109"/>
  <c r="G109"/>
  <c r="D109"/>
</calcChain>
</file>

<file path=xl/sharedStrings.xml><?xml version="1.0" encoding="utf-8"?>
<sst xmlns="http://schemas.openxmlformats.org/spreadsheetml/2006/main" count="258" uniqueCount="179">
  <si>
    <t>LLC resonant half-bridge converter design tools for FAN7688</t>
  </si>
  <si>
    <t>k</t>
  </si>
  <si>
    <t>Blue cells</t>
  </si>
  <si>
    <t>are the input parameters</t>
  </si>
  <si>
    <t>m</t>
  </si>
  <si>
    <t>Red cells</t>
  </si>
  <si>
    <t>are the output parameters</t>
  </si>
  <si>
    <t>u</t>
  </si>
  <si>
    <t>n</t>
  </si>
  <si>
    <t>1. Define the system specifications</t>
  </si>
  <si>
    <t>Maximum input voltage</t>
  </si>
  <si>
    <t>V</t>
  </si>
  <si>
    <t>Output voltage</t>
  </si>
  <si>
    <t>Output power</t>
  </si>
  <si>
    <t>W</t>
  </si>
  <si>
    <t>Output current</t>
  </si>
  <si>
    <t>A</t>
  </si>
  <si>
    <t>Input Power</t>
  </si>
  <si>
    <t>Estimated efficiency</t>
  </si>
  <si>
    <t>%</t>
  </si>
  <si>
    <t>Holdup time requirement</t>
  </si>
  <si>
    <t>ms</t>
  </si>
  <si>
    <t>Input Bulk capacitor</t>
  </si>
  <si>
    <t>uF</t>
  </si>
  <si>
    <t>2. Determine the maximum and minimum gain of the resonant network</t>
  </si>
  <si>
    <t>Ratio between Lp and Lr (m)</t>
  </si>
  <si>
    <t>:: Lp = primary side inductance with secondary open</t>
  </si>
  <si>
    <t>:: Lr = primary side inductance with secondary short</t>
  </si>
  <si>
    <t>Integrated Tx (YES=1, No=0) ?</t>
  </si>
  <si>
    <t>Gain at the resonant freq</t>
  </si>
  <si>
    <t xml:space="preserve">The min gain should be same as or a little bit </t>
  </si>
  <si>
    <t>higher than the gain at the resonant frequency (fo)</t>
  </si>
  <si>
    <t>Min gain for max input voltage</t>
  </si>
  <si>
    <t>Max gain for min input voltage</t>
  </si>
  <si>
    <t>3. Determine the transformer turns ratio</t>
  </si>
  <si>
    <t>Rectifier diode forward voltage drop</t>
  </si>
  <si>
    <t>turns ratio (n=Np/Ns)</t>
  </si>
  <si>
    <t>4. Calculate the equivalent load resistance</t>
  </si>
  <si>
    <t>Rac</t>
  </si>
  <si>
    <t>Ω</t>
  </si>
  <si>
    <t>5. Design the resonant network</t>
  </si>
  <si>
    <t>Designed resonant network</t>
  </si>
  <si>
    <t>Actual resonant network Design</t>
  </si>
  <si>
    <t>Resonant frequency (fo)</t>
  </si>
  <si>
    <t>kHz</t>
  </si>
  <si>
    <t>Cr</t>
  </si>
  <si>
    <t>nF</t>
  </si>
  <si>
    <t>Q factor from the design graph</t>
  </si>
  <si>
    <t>Lr</t>
  </si>
  <si>
    <t>uH</t>
  </si>
  <si>
    <t>Designed Cr</t>
  </si>
  <si>
    <t>Lp</t>
  </si>
  <si>
    <t>Designed Lr</t>
  </si>
  <si>
    <t>Q factor</t>
  </si>
  <si>
    <t>Designed Lp</t>
  </si>
  <si>
    <t>resonant freq (fo)</t>
  </si>
  <si>
    <t>Mv</t>
  </si>
  <si>
    <t>Ratio between Lp and Lr</t>
  </si>
  <si>
    <t>6. Design the transformer</t>
  </si>
  <si>
    <t>Cross sectional area of the core (Ae)</t>
  </si>
  <si>
    <r>
      <t>mm</t>
    </r>
    <r>
      <rPr>
        <vertAlign val="superscript"/>
        <sz val="10"/>
        <color indexed="12"/>
        <rFont val="Arial"/>
        <family val="2"/>
      </rPr>
      <t>2</t>
    </r>
  </si>
  <si>
    <t>Minimum primary side turns</t>
  </si>
  <si>
    <t>turns</t>
  </si>
  <si>
    <t>T</t>
  </si>
  <si>
    <t>Primary side turns (Np)</t>
  </si>
  <si>
    <t>RMS current in primary winding</t>
  </si>
  <si>
    <t>Arms</t>
  </si>
  <si>
    <t>Secondy side turns (Ns)</t>
  </si>
  <si>
    <t>RMS current in seconadry winding</t>
  </si>
  <si>
    <t>7. Select the resonant capacitor (Cr)</t>
  </si>
  <si>
    <t>Secondary side OCP level</t>
  </si>
  <si>
    <t>RMS current through Cr</t>
  </si>
  <si>
    <t>Switching frequency at Vin.max</t>
  </si>
  <si>
    <t>Max voltage of Cr (Vin.max, Io)</t>
  </si>
  <si>
    <t>switching frequency at Vin.min</t>
  </si>
  <si>
    <t>Max voltage of Cr (Vin.max, Io.ocp)</t>
  </si>
  <si>
    <t>Max voltage of Cr (Vin.min, Io.ocp)</t>
  </si>
  <si>
    <t>8. Rectifier network design</t>
  </si>
  <si>
    <t>This design is for center tap transformer rectifier stage</t>
  </si>
  <si>
    <t>Diode voltage stress</t>
  </si>
  <si>
    <t>RMS current through each diode</t>
  </si>
  <si>
    <t>Output Capacitor</t>
  </si>
  <si>
    <t>RMS current through Co</t>
  </si>
  <si>
    <t>ESR of the output capacitor (Co)</t>
  </si>
  <si>
    <t>mΩ</t>
  </si>
  <si>
    <t>Output Voltage Ripple</t>
  </si>
  <si>
    <t>mV</t>
  </si>
  <si>
    <t>9. Current Sensing Circuit Configuration</t>
  </si>
  <si>
    <t>Primary side peak current</t>
  </si>
  <si>
    <t>OCP Primary side current</t>
  </si>
  <si>
    <t>OLP output current</t>
  </si>
  <si>
    <t>Turns ratio of current transformer (N2/N1)</t>
  </si>
  <si>
    <t>Recommended minimum Rcs1+Rcs2</t>
  </si>
  <si>
    <t>Rcs1+Rcs2 selection</t>
  </si>
  <si>
    <t>Rcs1</t>
  </si>
  <si>
    <t>Rcs2</t>
  </si>
  <si>
    <t>VCM (should be larger than 2V)</t>
  </si>
  <si>
    <t>ICS capacitor (C_ICS)</t>
  </si>
  <si>
    <t>Slope compensation Resistor</t>
  </si>
  <si>
    <t>kΩ</t>
  </si>
  <si>
    <t>VICS attenuation factor for VICS=1.2V</t>
  </si>
  <si>
    <t>VICS attenuation factor for VICS=1.45V</t>
  </si>
  <si>
    <t>Aditional slope on VICS at nominal VIN</t>
  </si>
  <si>
    <t>ICS resistor (R_ICS)</t>
  </si>
  <si>
    <t>VICS at VIN_MIN and full load</t>
  </si>
  <si>
    <t>10. Soft-Start Setting</t>
  </si>
  <si>
    <t>Minimum output voltage rising time</t>
  </si>
  <si>
    <t>Soft-start time</t>
  </si>
  <si>
    <t>Soft-start capacitor</t>
  </si>
  <si>
    <t>11. Minimum frequency setting</t>
  </si>
  <si>
    <t>Switching frequency at Vin.min</t>
  </si>
  <si>
    <t>Minimum frequency setting</t>
  </si>
  <si>
    <r>
      <t>Min frequency setting resistor (R</t>
    </r>
    <r>
      <rPr>
        <b/>
        <vertAlign val="subscript"/>
        <sz val="10"/>
        <color indexed="60"/>
        <rFont val="Arial"/>
        <family val="2"/>
      </rPr>
      <t>FMIN</t>
    </r>
    <r>
      <rPr>
        <b/>
        <sz val="10"/>
        <color indexed="60"/>
        <rFont val="Arial"/>
        <family val="2"/>
      </rPr>
      <t>)</t>
    </r>
  </si>
  <si>
    <t>12. PWM mode setting</t>
  </si>
  <si>
    <t>Vcomp.pwm</t>
  </si>
  <si>
    <t>frequency at PWM mode</t>
  </si>
  <si>
    <t>13. Deadtime Setting</t>
  </si>
  <si>
    <t>Effective Coss of primary side MOSFET</t>
  </si>
  <si>
    <t>pF</t>
  </si>
  <si>
    <t xml:space="preserve">Peak of magnetizing current </t>
  </si>
  <si>
    <t>minimum dead time in the primary side</t>
  </si>
  <si>
    <t>ns</t>
  </si>
  <si>
    <t>CDT</t>
  </si>
  <si>
    <t>RDT</t>
  </si>
  <si>
    <t>Primary side MOSFET dead time</t>
  </si>
  <si>
    <t>Secondary side SR dead time</t>
  </si>
  <si>
    <t>14. SR drain voltage sensing</t>
  </si>
  <si>
    <t>RDS1</t>
  </si>
  <si>
    <t>Minimum RDS2</t>
  </si>
  <si>
    <t>RDS2 selection</t>
  </si>
  <si>
    <t>Maximum filter capacitor on DS1SR</t>
  </si>
  <si>
    <t>Q</t>
    <phoneticPr fontId="0" type="noConversion"/>
  </si>
  <si>
    <t>m=2.5</t>
    <phoneticPr fontId="0" type="noConversion"/>
  </si>
  <si>
    <t>m=3</t>
    <phoneticPr fontId="0" type="noConversion"/>
  </si>
  <si>
    <t>m=3.5</t>
    <phoneticPr fontId="0" type="noConversion"/>
  </si>
  <si>
    <t>m=4</t>
    <phoneticPr fontId="0" type="noConversion"/>
  </si>
  <si>
    <t>m=4.5</t>
    <phoneticPr fontId="0" type="noConversion"/>
  </si>
  <si>
    <t>m=5</t>
    <phoneticPr fontId="0" type="noConversion"/>
  </si>
  <si>
    <t>m=6</t>
    <phoneticPr fontId="0" type="noConversion"/>
  </si>
  <si>
    <t>m=7</t>
    <phoneticPr fontId="0" type="noConversion"/>
  </si>
  <si>
    <t>m=8</t>
    <phoneticPr fontId="0" type="noConversion"/>
  </si>
  <si>
    <t>m=9</t>
  </si>
  <si>
    <t>m=10</t>
  </si>
  <si>
    <t>m=12</t>
  </si>
  <si>
    <t>Q</t>
    <phoneticPr fontId="0" type="noConversion"/>
  </si>
  <si>
    <t>m=2.5</t>
    <phoneticPr fontId="0" type="noConversion"/>
  </si>
  <si>
    <t>m=3</t>
    <phoneticPr fontId="0" type="noConversion"/>
  </si>
  <si>
    <t>m=3.5</t>
    <phoneticPr fontId="0" type="noConversion"/>
  </si>
  <si>
    <t>m=4</t>
    <phoneticPr fontId="0" type="noConversion"/>
  </si>
  <si>
    <t>m=6</t>
    <phoneticPr fontId="0" type="noConversion"/>
  </si>
  <si>
    <t>m=7</t>
    <phoneticPr fontId="0" type="noConversion"/>
  </si>
  <si>
    <t>fs</t>
    <phoneticPr fontId="0" type="noConversion"/>
  </si>
  <si>
    <t>ws</t>
    <phoneticPr fontId="0" type="noConversion"/>
  </si>
  <si>
    <t>wo=</t>
    <phoneticPr fontId="0" type="noConversion"/>
  </si>
  <si>
    <t>wp=</t>
    <phoneticPr fontId="0" type="noConversion"/>
  </si>
  <si>
    <t>fo=</t>
    <phoneticPr fontId="0" type="noConversion"/>
  </si>
  <si>
    <t>fp=</t>
    <phoneticPr fontId="0" type="noConversion"/>
  </si>
  <si>
    <t>Outputs</t>
    <phoneticPr fontId="0" type="noConversion"/>
  </si>
  <si>
    <t>Lm=</t>
    <phoneticPr fontId="0" type="noConversion"/>
  </si>
  <si>
    <t>Llk=</t>
    <phoneticPr fontId="0" type="noConversion"/>
  </si>
  <si>
    <t>n=</t>
    <phoneticPr fontId="0" type="noConversion"/>
  </si>
  <si>
    <t>Rac=</t>
    <phoneticPr fontId="0" type="noConversion"/>
  </si>
  <si>
    <t>Q=</t>
    <phoneticPr fontId="0" type="noConversion"/>
  </si>
  <si>
    <t>Qp</t>
    <phoneticPr fontId="0" type="noConversion"/>
  </si>
  <si>
    <t>m</t>
    <phoneticPr fontId="0" type="noConversion"/>
  </si>
  <si>
    <t>rad/s</t>
  </si>
  <si>
    <t>Q=</t>
  </si>
  <si>
    <t>100% load</t>
  </si>
  <si>
    <t>80% load</t>
  </si>
  <si>
    <t>60% load</t>
  </si>
  <si>
    <t>40% load</t>
  </si>
  <si>
    <t>20% load</t>
  </si>
  <si>
    <t>MC=</t>
  </si>
  <si>
    <t>m=14</t>
  </si>
  <si>
    <t>m=16</t>
  </si>
  <si>
    <t>Input voltage during holdup time</t>
  </si>
  <si>
    <t>Minimum input voltage for Design</t>
  </si>
  <si>
    <t>V1.4</t>
    <phoneticPr fontId="23" type="noConversion"/>
  </si>
  <si>
    <t>Maximum flux density Bmax</t>
    <phoneticPr fontId="23" type="noConversion"/>
  </si>
</sst>
</file>

<file path=xl/styles.xml><?xml version="1.0" encoding="utf-8"?>
<styleSheet xmlns="http://schemas.openxmlformats.org/spreadsheetml/2006/main">
  <numFmts count="7">
    <numFmt numFmtId="164" formatCode="_-* #,##0_-;\-* #,##0_-;_-* &quot;-&quot;_-;_-@_-"/>
    <numFmt numFmtId="165" formatCode="0.0E+00"/>
    <numFmt numFmtId="166" formatCode="0.0_ "/>
    <numFmt numFmtId="167" formatCode="0.00_ "/>
    <numFmt numFmtId="168" formatCode="0_ "/>
    <numFmt numFmtId="169" formatCode="0.0"/>
    <numFmt numFmtId="170" formatCode="0.0000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6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indexed="60"/>
      <name val="Arial"/>
      <family val="2"/>
    </font>
    <font>
      <sz val="10"/>
      <color rgb="FF0070C0"/>
      <name val="Arial"/>
      <family val="2"/>
    </font>
    <font>
      <b/>
      <sz val="11"/>
      <name val="돋움"/>
      <family val="3"/>
      <charset val="129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9"/>
      <name val="Calibri"/>
      <family val="3"/>
      <charset val="136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7A7E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FEEF1"/>
        <bgColor indexed="64"/>
      </patternFill>
    </fill>
    <fill>
      <patternFill patternType="solid">
        <fgColor rgb="FFEE96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6" fillId="2" borderId="0" xfId="0" applyFont="1" applyFill="1" applyProtection="1">
      <protection hidden="1"/>
    </xf>
    <xf numFmtId="0" fontId="1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165" fontId="5" fillId="0" borderId="0" xfId="0" applyNumberFormat="1" applyFont="1" applyProtection="1">
      <protection hidden="1"/>
    </xf>
    <xf numFmtId="0" fontId="7" fillId="3" borderId="0" xfId="0" applyFont="1" applyFill="1" applyProtection="1">
      <protection hidden="1"/>
    </xf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4" fillId="4" borderId="0" xfId="0" applyFont="1" applyFill="1" applyAlignment="1" applyProtection="1">
      <protection hidden="1"/>
    </xf>
    <xf numFmtId="0" fontId="1" fillId="4" borderId="0" xfId="0" applyFont="1" applyFill="1" applyAlignment="1" applyProtection="1">
      <protection hidden="1"/>
    </xf>
    <xf numFmtId="0" fontId="8" fillId="0" borderId="0" xfId="0" applyFont="1" applyProtection="1">
      <protection hidden="1"/>
    </xf>
    <xf numFmtId="0" fontId="1" fillId="2" borderId="0" xfId="0" applyFont="1" applyFill="1" applyProtection="1">
      <protection locked="0"/>
    </xf>
    <xf numFmtId="0" fontId="9" fillId="0" borderId="0" xfId="0" applyFont="1" applyProtection="1">
      <protection hidden="1"/>
    </xf>
    <xf numFmtId="0" fontId="3" fillId="3" borderId="0" xfId="0" applyFont="1" applyFill="1" applyProtection="1">
      <protection hidden="1"/>
    </xf>
    <xf numFmtId="0" fontId="3" fillId="0" borderId="0" xfId="0" applyFont="1" applyProtection="1">
      <protection hidden="1"/>
    </xf>
    <xf numFmtId="166" fontId="3" fillId="3" borderId="0" xfId="0" applyNumberFormat="1" applyFont="1" applyFill="1" applyProtection="1">
      <protection hidden="1"/>
    </xf>
    <xf numFmtId="0" fontId="10" fillId="5" borderId="1" xfId="0" applyFont="1" applyFill="1" applyBorder="1" applyProtection="1">
      <protection hidden="1"/>
    </xf>
    <xf numFmtId="0" fontId="11" fillId="5" borderId="2" xfId="0" applyFont="1" applyFill="1" applyBorder="1" applyProtection="1">
      <protection hidden="1"/>
    </xf>
    <xf numFmtId="0" fontId="11" fillId="5" borderId="3" xfId="0" applyFont="1" applyFill="1" applyBorder="1" applyProtection="1">
      <protection hidden="1"/>
    </xf>
    <xf numFmtId="0" fontId="10" fillId="5" borderId="4" xfId="0" applyFont="1" applyFill="1" applyBorder="1" applyProtection="1">
      <protection hidden="1"/>
    </xf>
    <xf numFmtId="0" fontId="11" fillId="5" borderId="5" xfId="0" applyFont="1" applyFill="1" applyBorder="1" applyProtection="1">
      <protection hidden="1"/>
    </xf>
    <xf numFmtId="0" fontId="11" fillId="5" borderId="6" xfId="0" applyFont="1" applyFill="1" applyBorder="1" applyProtection="1">
      <protection hidden="1"/>
    </xf>
    <xf numFmtId="167" fontId="3" fillId="3" borderId="0" xfId="0" applyNumberFormat="1" applyFont="1" applyFill="1" applyProtection="1">
      <protection hidden="1"/>
    </xf>
    <xf numFmtId="167" fontId="8" fillId="2" borderId="0" xfId="0" applyNumberFormat="1" applyFont="1" applyFill="1" applyProtection="1">
      <protection locked="0"/>
    </xf>
    <xf numFmtId="0" fontId="12" fillId="0" borderId="0" xfId="0" applyFont="1" applyProtection="1">
      <protection hidden="1"/>
    </xf>
    <xf numFmtId="168" fontId="3" fillId="3" borderId="0" xfId="0" applyNumberFormat="1" applyFont="1" applyFill="1" applyProtection="1">
      <protection hidden="1"/>
    </xf>
    <xf numFmtId="0" fontId="1" fillId="0" borderId="1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3" fillId="0" borderId="12" xfId="0" applyFont="1" applyBorder="1" applyProtection="1">
      <protection hidden="1"/>
    </xf>
    <xf numFmtId="0" fontId="3" fillId="0" borderId="13" xfId="0" applyFont="1" applyBorder="1" applyProtection="1">
      <protection hidden="1"/>
    </xf>
    <xf numFmtId="0" fontId="9" fillId="0" borderId="10" xfId="0" applyFont="1" applyBorder="1" applyProtection="1">
      <protection hidden="1"/>
    </xf>
    <xf numFmtId="166" fontId="3" fillId="3" borderId="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168" fontId="3" fillId="3" borderId="0" xfId="0" applyNumberFormat="1" applyFont="1" applyFill="1" applyBorder="1" applyProtection="1">
      <protection hidden="1"/>
    </xf>
    <xf numFmtId="0" fontId="9" fillId="0" borderId="12" xfId="0" applyFont="1" applyBorder="1" applyProtection="1">
      <protection hidden="1"/>
    </xf>
    <xf numFmtId="167" fontId="3" fillId="3" borderId="0" xfId="0" applyNumberFormat="1" applyFont="1" applyFill="1" applyBorder="1" applyProtection="1">
      <protection hidden="1"/>
    </xf>
    <xf numFmtId="0" fontId="9" fillId="0" borderId="4" xfId="0" applyFont="1" applyBorder="1" applyProtection="1">
      <protection hidden="1"/>
    </xf>
    <xf numFmtId="168" fontId="3" fillId="3" borderId="5" xfId="0" applyNumberFormat="1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9" fillId="0" borderId="14" xfId="0" applyFont="1" applyBorder="1" applyProtection="1">
      <protection hidden="1"/>
    </xf>
    <xf numFmtId="166" fontId="3" fillId="3" borderId="15" xfId="0" applyNumberFormat="1" applyFont="1" applyFill="1" applyBorder="1" applyProtection="1">
      <protection hidden="1"/>
    </xf>
    <xf numFmtId="0" fontId="3" fillId="0" borderId="16" xfId="0" applyFont="1" applyBorder="1" applyProtection="1">
      <protection hidden="1"/>
    </xf>
    <xf numFmtId="0" fontId="15" fillId="0" borderId="0" xfId="0" applyFont="1" applyProtection="1">
      <protection hidden="1"/>
    </xf>
    <xf numFmtId="2" fontId="3" fillId="3" borderId="0" xfId="0" applyNumberFormat="1" applyFont="1" applyFill="1" applyProtection="1">
      <protection hidden="1"/>
    </xf>
    <xf numFmtId="0" fontId="16" fillId="0" borderId="0" xfId="0" applyFont="1" applyProtection="1">
      <protection hidden="1"/>
    </xf>
    <xf numFmtId="2" fontId="1" fillId="6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8" fillId="7" borderId="0" xfId="0" applyFont="1" applyFill="1" applyProtection="1">
      <protection hidden="1"/>
    </xf>
    <xf numFmtId="1" fontId="3" fillId="3" borderId="0" xfId="0" applyNumberFormat="1" applyFont="1" applyFill="1" applyProtection="1">
      <protection hidden="1"/>
    </xf>
    <xf numFmtId="4" fontId="3" fillId="3" borderId="0" xfId="0" applyNumberFormat="1" applyFont="1" applyFill="1" applyProtection="1">
      <protection hidden="1"/>
    </xf>
    <xf numFmtId="0" fontId="1" fillId="0" borderId="0" xfId="0" applyFont="1" applyFill="1" applyProtection="1">
      <protection hidden="1"/>
    </xf>
    <xf numFmtId="3" fontId="3" fillId="3" borderId="0" xfId="0" applyNumberFormat="1" applyFont="1" applyFill="1" applyProtection="1">
      <protection hidden="1"/>
    </xf>
    <xf numFmtId="1" fontId="1" fillId="6" borderId="0" xfId="0" applyNumberFormat="1" applyFont="1" applyFill="1" applyProtection="1">
      <protection hidden="1"/>
    </xf>
    <xf numFmtId="169" fontId="1" fillId="6" borderId="0" xfId="0" applyNumberFormat="1" applyFont="1" applyFill="1" applyProtection="1">
      <protection hidden="1"/>
    </xf>
    <xf numFmtId="167" fontId="1" fillId="0" borderId="0" xfId="0" applyNumberFormat="1" applyFont="1" applyProtection="1">
      <protection hidden="1"/>
    </xf>
    <xf numFmtId="11" fontId="1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1" fillId="9" borderId="0" xfId="0" applyFont="1" applyFill="1" applyProtection="1">
      <protection hidden="1"/>
    </xf>
    <xf numFmtId="0" fontId="0" fillId="10" borderId="0" xfId="0" applyFill="1" applyAlignment="1">
      <alignment horizontal="right"/>
    </xf>
    <xf numFmtId="0" fontId="0" fillId="11" borderId="0" xfId="0" applyFill="1"/>
    <xf numFmtId="0" fontId="0" fillId="12" borderId="0" xfId="0" applyFill="1"/>
    <xf numFmtId="0" fontId="0" fillId="13" borderId="0" xfId="0" applyFill="1"/>
    <xf numFmtId="167" fontId="0" fillId="0" borderId="0" xfId="0" applyNumberFormat="1"/>
    <xf numFmtId="2" fontId="0" fillId="14" borderId="0" xfId="0" applyNumberFormat="1" applyFill="1"/>
    <xf numFmtId="4" fontId="0" fillId="0" borderId="0" xfId="0" applyNumberFormat="1"/>
    <xf numFmtId="11" fontId="0" fillId="0" borderId="0" xfId="0" applyNumberFormat="1"/>
    <xf numFmtId="2" fontId="0" fillId="0" borderId="0" xfId="0" applyNumberFormat="1"/>
    <xf numFmtId="0" fontId="20" fillId="11" borderId="17" xfId="0" applyFont="1" applyFill="1" applyBorder="1" applyAlignment="1">
      <alignment horizontal="right"/>
    </xf>
    <xf numFmtId="164" fontId="20" fillId="11" borderId="18" xfId="0" applyNumberFormat="1" applyFont="1" applyFill="1" applyBorder="1"/>
    <xf numFmtId="3" fontId="20" fillId="11" borderId="18" xfId="0" applyNumberFormat="1" applyFont="1" applyFill="1" applyBorder="1"/>
    <xf numFmtId="11" fontId="20" fillId="11" borderId="18" xfId="0" applyNumberFormat="1" applyFont="1" applyFill="1" applyBorder="1"/>
    <xf numFmtId="166" fontId="20" fillId="11" borderId="18" xfId="0" applyNumberFormat="1" applyFont="1" applyFill="1" applyBorder="1"/>
    <xf numFmtId="0" fontId="20" fillId="11" borderId="17" xfId="0" applyFont="1" applyFill="1" applyBorder="1"/>
    <xf numFmtId="0" fontId="20" fillId="11" borderId="18" xfId="0" applyFont="1" applyFill="1" applyBorder="1"/>
    <xf numFmtId="167" fontId="20" fillId="11" borderId="18" xfId="0" applyNumberFormat="1" applyFont="1" applyFill="1" applyBorder="1"/>
    <xf numFmtId="4" fontId="20" fillId="11" borderId="18" xfId="0" applyNumberFormat="1" applyFont="1" applyFill="1" applyBorder="1"/>
    <xf numFmtId="169" fontId="21" fillId="17" borderId="0" xfId="0" applyNumberFormat="1" applyFont="1" applyFill="1" applyProtection="1">
      <protection hidden="1"/>
    </xf>
    <xf numFmtId="0" fontId="22" fillId="0" borderId="0" xfId="0" applyFont="1" applyProtection="1">
      <protection hidden="1"/>
    </xf>
    <xf numFmtId="0" fontId="22" fillId="2" borderId="0" xfId="0" applyFont="1" applyFill="1" applyProtection="1">
      <protection locked="0"/>
    </xf>
    <xf numFmtId="170" fontId="1" fillId="0" borderId="0" xfId="0" applyNumberFormat="1" applyFont="1" applyProtection="1">
      <protection hidden="1"/>
    </xf>
    <xf numFmtId="166" fontId="3" fillId="16" borderId="0" xfId="0" applyNumberFormat="1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169" fontId="8" fillId="2" borderId="0" xfId="0" applyNumberFormat="1" applyFont="1" applyFill="1" applyProtection="1">
      <protection locked="0"/>
    </xf>
    <xf numFmtId="0" fontId="1" fillId="8" borderId="0" xfId="0" applyFont="1" applyFill="1" applyProtection="1">
      <protection locked="0"/>
    </xf>
    <xf numFmtId="0" fontId="20" fillId="15" borderId="17" xfId="0" applyFont="1" applyFill="1" applyBorder="1" applyAlignment="1">
      <alignment horizontal="center"/>
    </xf>
    <xf numFmtId="0" fontId="0" fillId="15" borderId="18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96D1"/>
      <color rgb="FF7FEE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407507579558088"/>
          <c:y val="6.8195047094930683E-2"/>
          <c:w val="0.77217586028893415"/>
          <c:h val="0.7664547976482956"/>
        </c:manualLayout>
      </c:layout>
      <c:scatterChart>
        <c:scatterStyle val="smoothMarker"/>
        <c:ser>
          <c:idx val="0"/>
          <c:order val="0"/>
          <c:tx>
            <c:strRef>
              <c:f>Sheet3!$C$6</c:f>
              <c:strCache>
                <c:ptCount val="1"/>
                <c:pt idx="0">
                  <c:v>100%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Sheet3!$C$7:$C$109</c:f>
              <c:numCache>
                <c:formatCode>0.00</c:formatCode>
                <c:ptCount val="103"/>
                <c:pt idx="0">
                  <c:v>0.68668883144414772</c:v>
                </c:pt>
                <c:pt idx="1">
                  <c:v>0.71710591446214467</c:v>
                </c:pt>
                <c:pt idx="2">
                  <c:v>0.74864121531277805</c:v>
                </c:pt>
                <c:pt idx="3">
                  <c:v>0.78126203042380227</c:v>
                </c:pt>
                <c:pt idx="4">
                  <c:v>0.81491737208149739</c:v>
                </c:pt>
                <c:pt idx="5">
                  <c:v>0.8495351168833053</c:v>
                </c:pt>
                <c:pt idx="6">
                  <c:v>0.88501916582570961</c:v>
                </c:pt>
                <c:pt idx="7">
                  <c:v>0.92124678238340441</c:v>
                </c:pt>
                <c:pt idx="8">
                  <c:v>0.95806632504985723</c:v>
                </c:pt>
                <c:pt idx="9">
                  <c:v>0.99529563916352204</c:v>
                </c:pt>
                <c:pt idx="10">
                  <c:v>1.0327214115064778</c:v>
                </c:pt>
                <c:pt idx="11">
                  <c:v>1.0700998096368457</c:v>
                </c:pt>
                <c:pt idx="12">
                  <c:v>1.1071587140480623</c:v>
                </c:pt>
                <c:pt idx="13">
                  <c:v>1.1436017931900484</c:v>
                </c:pt>
                <c:pt idx="14">
                  <c:v>1.179114560686269</c:v>
                </c:pt>
                <c:pt idx="15">
                  <c:v>1.2133723895212938</c:v>
                </c:pt>
                <c:pt idx="16">
                  <c:v>1.2460502492639762</c:v>
                </c:pt>
                <c:pt idx="17">
                  <c:v>1.2768337022614127</c:v>
                </c:pt>
                <c:pt idx="18">
                  <c:v>1.3054304778810293</c:v>
                </c:pt>
                <c:pt idx="19">
                  <c:v>1.3315817817155058</c:v>
                </c:pt>
                <c:pt idx="20">
                  <c:v>1.3550724282608595</c:v>
                </c:pt>
                <c:pt idx="21">
                  <c:v>1.3757389367763326</c:v>
                </c:pt>
                <c:pt idx="22">
                  <c:v>1.3934749043402495</c:v>
                </c:pt>
                <c:pt idx="23">
                  <c:v>1.4082332449720216</c:v>
                </c:pt>
                <c:pt idx="24">
                  <c:v>1.4200252142729639</c:v>
                </c:pt>
                <c:pt idx="25">
                  <c:v>1.4289164688962654</c:v>
                </c:pt>
                <c:pt idx="26">
                  <c:v>1.4350206852697085</c:v>
                </c:pt>
                <c:pt idx="27">
                  <c:v>1.4384914434954148</c:v>
                </c:pt>
                <c:pt idx="28">
                  <c:v>1.4395131538897554</c:v>
                </c:pt>
                <c:pt idx="29">
                  <c:v>1.4382917717351626</c:v>
                </c:pt>
                <c:pt idx="30">
                  <c:v>1.4350459343125772</c:v>
                </c:pt>
                <c:pt idx="31">
                  <c:v>1.4299989955814045</c:v>
                </c:pt>
                <c:pt idx="32">
                  <c:v>1.4233722603722379</c:v>
                </c:pt>
                <c:pt idx="33">
                  <c:v>1.4153795578100978</c:v>
                </c:pt>
                <c:pt idx="34">
                  <c:v>1.4062231598229</c:v>
                </c:pt>
                <c:pt idx="35">
                  <c:v>1.3960909526493861</c:v>
                </c:pt>
                <c:pt idx="36">
                  <c:v>1.3851547074115493</c:v>
                </c:pt>
                <c:pt idx="37">
                  <c:v>1.3735692653515506</c:v>
                </c:pt>
                <c:pt idx="38">
                  <c:v>1.3614724471727877</c:v>
                </c:pt>
                <c:pt idx="39">
                  <c:v>1.3489855065518153</c:v>
                </c:pt>
                <c:pt idx="40">
                  <c:v>1.3362139685731962</c:v>
                </c:pt>
                <c:pt idx="41">
                  <c:v>1.3232487192351081</c:v>
                </c:pt>
                <c:pt idx="42">
                  <c:v>1.3101672384458485</c:v>
                </c:pt>
                <c:pt idx="43">
                  <c:v>1.2970348936164489</c:v>
                </c:pt>
                <c:pt idx="44">
                  <c:v>1.2839062326863977</c:v>
                </c:pt>
                <c:pt idx="45">
                  <c:v>1.2708262336307001</c:v>
                </c:pt>
                <c:pt idx="46">
                  <c:v>1.2578314821490804</c:v>
                </c:pt>
                <c:pt idx="47">
                  <c:v>1.2449512606079973</c:v>
                </c:pt>
                <c:pt idx="48">
                  <c:v>1.2322085398266145</c:v>
                </c:pt>
                <c:pt idx="49">
                  <c:v>1.2196208714540153</c:v>
                </c:pt>
                <c:pt idx="50">
                  <c:v>1.2072011829493674</c:v>
                </c:pt>
                <c:pt idx="51">
                  <c:v>1.1949584799742285</c:v>
                </c:pt>
                <c:pt idx="52">
                  <c:v>1.1828984626988466</c:v>
                </c:pt>
                <c:pt idx="53">
                  <c:v>1.1710240634085214</c:v>
                </c:pt>
                <c:pt idx="54">
                  <c:v>1.1593359131071972</c:v>
                </c:pt>
                <c:pt idx="55">
                  <c:v>1.1478327447349346</c:v>
                </c:pt>
                <c:pt idx="56">
                  <c:v>1.1365117402806835</c:v>
                </c:pt>
                <c:pt idx="57">
                  <c:v>1.1253688285824552</c:v>
                </c:pt>
                <c:pt idx="58">
                  <c:v>1.1143989400358094</c:v>
                </c:pt>
                <c:pt idx="59">
                  <c:v>1.1035962238289796</c:v>
                </c:pt>
                <c:pt idx="60">
                  <c:v>1.0929542327229544</c:v>
                </c:pt>
                <c:pt idx="61">
                  <c:v>1.0824660798192753</c:v>
                </c:pt>
                <c:pt idx="62">
                  <c:v>1.0721245712205043</c:v>
                </c:pt>
                <c:pt idx="63">
                  <c:v>1.0619223179951178</c:v>
                </c:pt>
                <c:pt idx="64">
                  <c:v>1.0518518304128863</c:v>
                </c:pt>
                <c:pt idx="65">
                  <c:v>1.041905597018413</c:v>
                </c:pt>
                <c:pt idx="66">
                  <c:v>1.032076150757623</c:v>
                </c:pt>
                <c:pt idx="67">
                  <c:v>1.0223561240615946</c:v>
                </c:pt>
                <c:pt idx="68">
                  <c:v>1.0127382945207009</c:v>
                </c:pt>
                <c:pt idx="69">
                  <c:v>1.0032156225458428</c:v>
                </c:pt>
                <c:pt idx="70">
                  <c:v>0.99378128220883388</c:v>
                </c:pt>
                <c:pt idx="71">
                  <c:v>0.98442868627718438</c:v>
                </c:pt>
                <c:pt idx="72">
                  <c:v>0.97515150630627567</c:v>
                </c:pt>
                <c:pt idx="73">
                  <c:v>0.96594368852115642</c:v>
                </c:pt>
                <c:pt idx="74">
                  <c:v>0.95679946610818467</c:v>
                </c:pt>
                <c:pt idx="75">
                  <c:v>0.94771336844096965</c:v>
                </c:pt>
                <c:pt idx="76">
                  <c:v>0.9386802276834727</c:v>
                </c:pt>
                <c:pt idx="77">
                  <c:v>0.92969518314363475</c:v>
                </c:pt>
                <c:pt idx="78">
                  <c:v>0.92075368369199206</c:v>
                </c:pt>
                <c:pt idx="79">
                  <c:v>0.91185148850986275</c:v>
                </c:pt>
                <c:pt idx="80">
                  <c:v>0.90298466638960884</c:v>
                </c:pt>
                <c:pt idx="81">
                  <c:v>0.89414959377410508</c:v>
                </c:pt>
                <c:pt idx="82">
                  <c:v>0.88534295169291954</c:v>
                </c:pt>
                <c:pt idx="83">
                  <c:v>0.87656172172802738</c:v>
                </c:pt>
                <c:pt idx="84">
                  <c:v>0.86780318112139054</c:v>
                </c:pt>
                <c:pt idx="85">
                  <c:v>0.85906489711990719</c:v>
                </c:pt>
                <c:pt idx="86">
                  <c:v>0.85034472063940503</c:v>
                </c:pt>
                <c:pt idx="87">
                  <c:v>0.84164077931822734</c:v>
                </c:pt>
                <c:pt idx="88">
                  <c:v>0.83295147002198344</c:v>
                </c:pt>
                <c:pt idx="89">
                  <c:v>0.82427545085394816</c:v>
                </c:pt>
                <c:pt idx="90">
                  <c:v>0.81561163272008574</c:v>
                </c:pt>
                <c:pt idx="91">
                  <c:v>0.80695917049344623</c:v>
                </c:pt>
                <c:pt idx="92">
                  <c:v>0.79831745381951713</c:v>
                </c:pt>
                <c:pt idx="93">
                  <c:v>0.78968609760184472</c:v>
                </c:pt>
                <c:pt idx="94">
                  <c:v>0.78106493220562145</c:v>
                </c:pt>
                <c:pt idx="95">
                  <c:v>0.77245399341588261</c:v>
                </c:pt>
                <c:pt idx="96">
                  <c:v>0.76385351218628783</c:v>
                </c:pt>
                <c:pt idx="97">
                  <c:v>0.75526390421408396</c:v>
                </c:pt>
                <c:pt idx="98">
                  <c:v>0.7466857593766506</c:v>
                </c:pt>
                <c:pt idx="99">
                  <c:v>0.73811983106492884</c:v>
                </c:pt>
                <c:pt idx="100">
                  <c:v>0.72956702544895957</c:v>
                </c:pt>
                <c:pt idx="101">
                  <c:v>0.72102839071065283</c:v>
                </c:pt>
                <c:pt idx="102">
                  <c:v>0.71250510627870378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Sheet3!$D$6</c:f>
              <c:strCache>
                <c:ptCount val="1"/>
                <c:pt idx="0">
                  <c:v>80%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Sheet3!$D$7:$D$109</c:f>
              <c:numCache>
                <c:formatCode>0.00</c:formatCode>
                <c:ptCount val="103"/>
                <c:pt idx="0">
                  <c:v>0.79237640998766956</c:v>
                </c:pt>
                <c:pt idx="1">
                  <c:v>0.83303340629170974</c:v>
                </c:pt>
                <c:pt idx="2">
                  <c:v>0.87565647222165277</c:v>
                </c:pt>
                <c:pt idx="3">
                  <c:v>0.92022285138416382</c:v>
                </c:pt>
                <c:pt idx="4">
                  <c:v>0.96666965344700484</c:v>
                </c:pt>
                <c:pt idx="5">
                  <c:v>1.0148841044522003</c:v>
                </c:pt>
                <c:pt idx="6">
                  <c:v>1.0646930537096435</c:v>
                </c:pt>
                <c:pt idx="7">
                  <c:v>1.115852342390999</c:v>
                </c:pt>
                <c:pt idx="8">
                  <c:v>1.1680369828005719</c:v>
                </c:pt>
                <c:pt idx="9">
                  <c:v>1.220833484605985</c:v>
                </c:pt>
                <c:pt idx="10">
                  <c:v>1.2737360334189261</c:v>
                </c:pt>
                <c:pt idx="11">
                  <c:v>1.3261484741023308</c:v>
                </c:pt>
                <c:pt idx="12">
                  <c:v>1.3773940341530626</c:v>
                </c:pt>
                <c:pt idx="13">
                  <c:v>1.4267342879269296</c:v>
                </c:pt>
                <c:pt idx="14">
                  <c:v>1.4733978996817354</c:v>
                </c:pt>
                <c:pt idx="15">
                  <c:v>1.5166182006237012</c:v>
                </c:pt>
                <c:pt idx="16">
                  <c:v>1.5556768488963246</c:v>
                </c:pt>
                <c:pt idx="17">
                  <c:v>1.589949092895895</c:v>
                </c:pt>
                <c:pt idx="18">
                  <c:v>1.6189450327404673</c:v>
                </c:pt>
                <c:pt idx="19">
                  <c:v>1.6423412213067345</c:v>
                </c:pt>
                <c:pt idx="20">
                  <c:v>1.6599981619238511</c:v>
                </c:pt>
                <c:pt idx="21">
                  <c:v>1.6719615318987007</c:v>
                </c:pt>
                <c:pt idx="22">
                  <c:v>1.6784477049786841</c:v>
                </c:pt>
                <c:pt idx="23">
                  <c:v>1.679816621164292</c:v>
                </c:pt>
                <c:pt idx="24">
                  <c:v>1.6765366501632097</c:v>
                </c:pt>
                <c:pt idx="25">
                  <c:v>1.6691465476802287</c:v>
                </c:pt>
                <c:pt idx="26">
                  <c:v>1.6582190233664649</c:v>
                </c:pt>
                <c:pt idx="27">
                  <c:v>1.6443291964725302</c:v>
                </c:pt>
                <c:pt idx="28">
                  <c:v>1.628029753367273</c:v>
                </c:pt>
                <c:pt idx="29">
                  <c:v>1.6098333004256442</c:v>
                </c:pt>
                <c:pt idx="30">
                  <c:v>1.5902014303517467</c:v>
                </c:pt>
                <c:pt idx="31">
                  <c:v>1.5695394420304851</c:v>
                </c:pt>
                <c:pt idx="32">
                  <c:v>1.5481954222645051</c:v>
                </c:pt>
                <c:pt idx="33">
                  <c:v>1.5264624139258769</c:v>
                </c:pt>
                <c:pt idx="34">
                  <c:v>1.5045825567144488</c:v>
                </c:pt>
                <c:pt idx="35">
                  <c:v>1.4827523108747009</c:v>
                </c:pt>
                <c:pt idx="36">
                  <c:v>1.4611281046993694</c:v>
                </c:pt>
                <c:pt idx="37">
                  <c:v>1.4398319517730844</c:v>
                </c:pt>
                <c:pt idx="38">
                  <c:v>1.4189567502405671</c:v>
                </c:pt>
                <c:pt idx="39">
                  <c:v>1.3985711020328215</c:v>
                </c:pt>
                <c:pt idx="40">
                  <c:v>1.3787235792346617</c:v>
                </c:pt>
                <c:pt idx="41">
                  <c:v>1.3594464244061033</c:v>
                </c:pt>
                <c:pt idx="42">
                  <c:v>1.340758708770893</c:v>
                </c:pt>
                <c:pt idx="43">
                  <c:v>1.3226689930662163</c:v>
                </c:pt>
                <c:pt idx="44">
                  <c:v>1.3051775456214931</c:v>
                </c:pt>
                <c:pt idx="45">
                  <c:v>1.2882781747891456</c:v>
                </c:pt>
                <c:pt idx="46">
                  <c:v>1.2719597309995403</c:v>
                </c:pt>
                <c:pt idx="47">
                  <c:v>1.2562073294060117</c:v>
                </c:pt>
                <c:pt idx="48">
                  <c:v>1.2410033386204042</c:v>
                </c:pt>
                <c:pt idx="49">
                  <c:v>1.2263281752382618</c:v>
                </c:pt>
                <c:pt idx="50">
                  <c:v>1.21216093820924</c:v>
                </c:pt>
                <c:pt idx="51">
                  <c:v>1.1984799118940048</c:v>
                </c:pt>
                <c:pt idx="52">
                  <c:v>1.185262961991169</c:v>
                </c:pt>
                <c:pt idx="53">
                  <c:v>1.1724878444540341</c:v>
                </c:pt>
                <c:pt idx="54">
                  <c:v>1.1601324440316172</c:v>
                </c:pt>
                <c:pt idx="55">
                  <c:v>1.1481749561171906</c:v>
                </c:pt>
                <c:pt idx="56">
                  <c:v>1.1365940231129525</c:v>
                </c:pt>
                <c:pt idx="57">
                  <c:v>1.1253688344600581</c:v>
                </c:pt>
                <c:pt idx="58">
                  <c:v>1.1144791977795809</c:v>
                </c:pt>
                <c:pt idx="59">
                  <c:v>1.1039055871672021</c:v>
                </c:pt>
                <c:pt idx="60">
                  <c:v>1.0936291735337071</c:v>
                </c:pt>
                <c:pt idx="61">
                  <c:v>1.0836318409422199</c:v>
                </c:pt>
                <c:pt idx="62">
                  <c:v>1.0738961921253039</c:v>
                </c:pt>
                <c:pt idx="63">
                  <c:v>1.0644055457398629</c:v>
                </c:pt>
                <c:pt idx="64">
                  <c:v>1.0551439274095979</c:v>
                </c:pt>
                <c:pt idx="65">
                  <c:v>1.0460960561922876</c:v>
                </c:pt>
                <c:pt idx="66">
                  <c:v>1.0372473277747727</c:v>
                </c:pt>
                <c:pt idx="67">
                  <c:v>1.0285837954277683</c:v>
                </c:pt>
                <c:pt idx="68">
                  <c:v>1.0200921495336177</c:v>
                </c:pt>
                <c:pt idx="69">
                  <c:v>1.0117596963231776</c:v>
                </c:pt>
                <c:pt idx="70">
                  <c:v>1.0035743363152372</c:v>
                </c:pt>
                <c:pt idx="71">
                  <c:v>0.99552454283678271</c:v>
                </c:pt>
                <c:pt idx="72">
                  <c:v>0.9875993409098075</c:v>
                </c:pt>
                <c:pt idx="73">
                  <c:v>0.97978828671593021</c:v>
                </c:pt>
                <c:pt idx="74">
                  <c:v>0.97208144779041494</c:v>
                </c:pt>
                <c:pt idx="75">
                  <c:v>0.96446938404939364</c:v>
                </c:pt>
                <c:pt idx="76">
                  <c:v>0.95694312971603246</c:v>
                </c:pt>
                <c:pt idx="77">
                  <c:v>0.94949417618103438</c:v>
                </c:pt>
                <c:pt idx="78">
                  <c:v>0.94211445580892783</c:v>
                </c:pt>
                <c:pt idx="79">
                  <c:v>0.93479632668268975</c:v>
                </c:pt>
                <c:pt idx="80">
                  <c:v>0.92753255826451542</c:v>
                </c:pt>
                <c:pt idx="81">
                  <c:v>0.92031631793913782</c:v>
                </c:pt>
                <c:pt idx="82">
                  <c:v>0.91314115839739995</c:v>
                </c:pt>
                <c:pt idx="83">
                  <c:v>0.90600100581128695</c:v>
                </c:pt>
                <c:pt idx="84">
                  <c:v>0.89889014874689155</c:v>
                </c:pt>
                <c:pt idx="85">
                  <c:v>0.89180322775854515</c:v>
                </c:pt>
                <c:pt idx="86">
                  <c:v>0.88473522560523898</c:v>
                </c:pt>
                <c:pt idx="87">
                  <c:v>0.87768145802940034</c:v>
                </c:pt>
                <c:pt idx="88">
                  <c:v>0.87063756503778644</c:v>
                </c:pt>
                <c:pt idx="89">
                  <c:v>0.86359950262465723</c:v>
                </c:pt>
                <c:pt idx="90">
                  <c:v>0.8565635348783649</c:v>
                </c:pt>
                <c:pt idx="91">
                  <c:v>0.84952622641394748</c:v>
                </c:pt>
                <c:pt idx="92">
                  <c:v>0.84248443507618009</c:v>
                </c:pt>
                <c:pt idx="93">
                  <c:v>0.83543530485978812</c:v>
                </c:pt>
                <c:pt idx="94">
                  <c:v>0.82837625899606071</c:v>
                </c:pt>
                <c:pt idx="95">
                  <c:v>0.82130499315794125</c:v>
                </c:pt>
                <c:pt idx="96">
                  <c:v>0.8142194687387434</c:v>
                </c:pt>
                <c:pt idx="97">
                  <c:v>0.8071179061629199</c:v>
                </c:pt>
                <c:pt idx="98">
                  <c:v>0.79999877819079213</c:v>
                </c:pt>
                <c:pt idx="99">
                  <c:v>0.79286080318276597</c:v>
                </c:pt>
                <c:pt idx="100">
                  <c:v>0.78570293829232463</c:v>
                </c:pt>
                <c:pt idx="101">
                  <c:v>0.77852437256095031</c:v>
                </c:pt>
                <c:pt idx="102">
                  <c:v>0.77132451989205808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Sheet3!$E$6</c:f>
              <c:strCache>
                <c:ptCount val="1"/>
                <c:pt idx="0">
                  <c:v>60%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Sheet3!$E$7:$E$109</c:f>
              <c:numCache>
                <c:formatCode>0.00</c:formatCode>
                <c:ptCount val="103"/>
                <c:pt idx="0">
                  <c:v>0.91977619721141302</c:v>
                </c:pt>
                <c:pt idx="1">
                  <c:v>0.97619471877816144</c:v>
                </c:pt>
                <c:pt idx="2">
                  <c:v>1.0365197106968245</c:v>
                </c:pt>
                <c:pt idx="3">
                  <c:v>1.1008903607727518</c:v>
                </c:pt>
                <c:pt idx="4">
                  <c:v>1.1693767012916227</c:v>
                </c:pt>
                <c:pt idx="5">
                  <c:v>1.2419461930228137</c:v>
                </c:pt>
                <c:pt idx="6">
                  <c:v>1.3184216070388917</c:v>
                </c:pt>
                <c:pt idx="7">
                  <c:v>1.3984305209416086</c:v>
                </c:pt>
                <c:pt idx="8">
                  <c:v>1.4813488358629774</c:v>
                </c:pt>
                <c:pt idx="9">
                  <c:v>1.5662440693862634</c:v>
                </c:pt>
                <c:pt idx="10">
                  <c:v>1.6518287703187871</c:v>
                </c:pt>
                <c:pt idx="11">
                  <c:v>1.7364395127039813</c:v>
                </c:pt>
                <c:pt idx="12">
                  <c:v>1.8180606793257819</c:v>
                </c:pt>
                <c:pt idx="13">
                  <c:v>1.8944114952006226</c:v>
                </c:pt>
                <c:pt idx="14">
                  <c:v>1.96310600945544</c:v>
                </c:pt>
                <c:pt idx="15">
                  <c:v>2.0218774374920132</c:v>
                </c:pt>
                <c:pt idx="16">
                  <c:v>2.0688340223192956</c:v>
                </c:pt>
                <c:pt idx="17">
                  <c:v>2.1026931336333057</c:v>
                </c:pt>
                <c:pt idx="18">
                  <c:v>2.1229359218951149</c:v>
                </c:pt>
                <c:pt idx="19">
                  <c:v>2.1298429566271637</c:v>
                </c:pt>
                <c:pt idx="20">
                  <c:v>2.124406095549209</c:v>
                </c:pt>
                <c:pt idx="21">
                  <c:v>2.1081473669682071</c:v>
                </c:pt>
                <c:pt idx="22">
                  <c:v>2.0828960656044977</c:v>
                </c:pt>
                <c:pt idx="23">
                  <c:v>2.0505747082491417</c:v>
                </c:pt>
                <c:pt idx="24">
                  <c:v>2.0130285261393852</c:v>
                </c:pt>
                <c:pt idx="25">
                  <c:v>1.9719125013005327</c:v>
                </c:pt>
                <c:pt idx="26">
                  <c:v>1.9286332610836414</c:v>
                </c:pt>
                <c:pt idx="27">
                  <c:v>1.8843339198137692</c:v>
                </c:pt>
                <c:pt idx="28">
                  <c:v>1.8399074421404427</c:v>
                </c:pt>
                <c:pt idx="29">
                  <c:v>1.7960257394946579</c:v>
                </c:pt>
                <c:pt idx="30">
                  <c:v>1.7531750279512746</c:v>
                </c:pt>
                <c:pt idx="31">
                  <c:v>1.7116913670772897</c:v>
                </c:pt>
                <c:pt idx="32">
                  <c:v>1.6717930243822561</c:v>
                </c:pt>
                <c:pt idx="33">
                  <c:v>1.6336081991930531</c:v>
                </c:pt>
                <c:pt idx="34">
                  <c:v>1.5971978018073345</c:v>
                </c:pt>
                <c:pt idx="35">
                  <c:v>1.5625736133835475</c:v>
                </c:pt>
                <c:pt idx="36">
                  <c:v>1.5297124344013406</c:v>
                </c:pt>
                <c:pt idx="37">
                  <c:v>1.4985669067651215</c:v>
                </c:pt>
                <c:pt idx="38">
                  <c:v>1.4690736631413333</c:v>
                </c:pt>
                <c:pt idx="39">
                  <c:v>1.4411593766893209</c:v>
                </c:pt>
                <c:pt idx="40">
                  <c:v>1.4147451890934553</c:v>
                </c:pt>
                <c:pt idx="41">
                  <c:v>1.3897499024447943</c:v>
                </c:pt>
                <c:pt idx="42">
                  <c:v>1.3660922389914423</c:v>
                </c:pt>
                <c:pt idx="43">
                  <c:v>1.3436924045857943</c:v>
                </c:pt>
                <c:pt idx="44">
                  <c:v>1.3224731365444802</c:v>
                </c:pt>
                <c:pt idx="45">
                  <c:v>1.3023603731140039</c:v>
                </c:pt>
                <c:pt idx="46">
                  <c:v>1.2832836479184722</c:v>
                </c:pt>
                <c:pt idx="47">
                  <c:v>1.2651762867969083</c:v>
                </c:pt>
                <c:pt idx="48">
                  <c:v>1.2479754646670951</c:v>
                </c:pt>
                <c:pt idx="49">
                  <c:v>1.2316221650994041</c:v>
                </c:pt>
                <c:pt idx="50">
                  <c:v>1.2160610740315767</c:v>
                </c:pt>
                <c:pt idx="51">
                  <c:v>1.2012404306229496</c:v>
                </c:pt>
                <c:pt idx="52">
                  <c:v>1.1871118519501251</c:v>
                </c:pt>
                <c:pt idx="53">
                  <c:v>1.1736301435599708</c:v>
                </c:pt>
                <c:pt idx="54">
                  <c:v>1.1607531044200421</c:v>
                </c:pt>
                <c:pt idx="55">
                  <c:v>1.1484413322376787</c:v>
                </c:pt>
                <c:pt idx="56">
                  <c:v>1.1366580332285834</c:v>
                </c:pt>
                <c:pt idx="57">
                  <c:v>1.1253688390315271</c:v>
                </c:pt>
                <c:pt idx="58">
                  <c:v>1.1145416324588844</c:v>
                </c:pt>
                <c:pt idx="59">
                  <c:v>1.1041463830462432</c:v>
                </c:pt>
                <c:pt idx="60">
                  <c:v>1.0941549928459435</c:v>
                </c:pt>
                <c:pt idx="61">
                  <c:v>1.084541152544878</c:v>
                </c:pt>
                <c:pt idx="62">
                  <c:v>1.0752802077358714</c:v>
                </c:pt>
                <c:pt idx="63">
                  <c:v>1.0663490350041651</c:v>
                </c:pt>
                <c:pt idx="64">
                  <c:v>1.0577259273834867</c:v>
                </c:pt>
                <c:pt idx="65">
                  <c:v>1.0493904886731273</c:v>
                </c:pt>
                <c:pt idx="66">
                  <c:v>1.0413235360758872</c:v>
                </c:pt>
                <c:pt idx="67">
                  <c:v>1.0335070106074848</c:v>
                </c:pt>
                <c:pt idx="68">
                  <c:v>1.025923894734182</c:v>
                </c:pt>
                <c:pt idx="69">
                  <c:v>1.0185581367119692</c:v>
                </c:pt>
                <c:pt idx="70">
                  <c:v>1.0113945811239866</c:v>
                </c:pt>
                <c:pt idx="71">
                  <c:v>1.004418905140219</c:v>
                </c:pt>
                <c:pt idx="72">
                  <c:v>0.99761756005302893</c:v>
                </c:pt>
                <c:pt idx="73">
                  <c:v>0.99097771767236043</c:v>
                </c:pt>
                <c:pt idx="74">
                  <c:v>0.98448722119451626</c:v>
                </c:pt>
                <c:pt idx="75">
                  <c:v>0.97813454018761692</c:v>
                </c:pt>
                <c:pt idx="76">
                  <c:v>0.97190872936481276</c:v>
                </c:pt>
                <c:pt idx="77">
                  <c:v>0.96579939084265876</c:v>
                </c:pt>
                <c:pt idx="78">
                  <c:v>0.95979663960678241</c:v>
                </c:pt>
                <c:pt idx="79">
                  <c:v>0.95389107192986866</c:v>
                </c:pt>
                <c:pt idx="80">
                  <c:v>0.94807373650815518</c:v>
                </c:pt>
                <c:pt idx="81">
                  <c:v>0.94233610810203372</c:v>
                </c:pt>
                <c:pt idx="82">
                  <c:v>0.93667006348412607</c:v>
                </c:pt>
                <c:pt idx="83">
                  <c:v>0.93106785951437099</c:v>
                </c:pt>
                <c:pt idx="84">
                  <c:v>0.92552211317632826</c:v>
                </c:pt>
                <c:pt idx="85">
                  <c:v>0.92002578342222852</c:v>
                </c:pt>
                <c:pt idx="86">
                  <c:v>0.91457215468624675</c:v>
                </c:pt>
                <c:pt idx="87">
                  <c:v>0.90915482193632446</c:v>
                </c:pt>
                <c:pt idx="88">
                  <c:v>0.90376767714454731</c:v>
                </c:pt>
                <c:pt idx="89">
                  <c:v>0.89840489706477922</c:v>
                </c:pt>
                <c:pt idx="90">
                  <c:v>0.89306093221405414</c:v>
                </c:pt>
                <c:pt idx="91">
                  <c:v>0.88773049696116324</c:v>
                </c:pt>
                <c:pt idx="92">
                  <c:v>0.88240856063206441</c:v>
                </c:pt>
                <c:pt idx="93">
                  <c:v>0.87709033954728144</c:v>
                </c:pt>
                <c:pt idx="94">
                  <c:v>0.87177128991134545</c:v>
                </c:pt>
                <c:pt idx="95">
                  <c:v>0.86644710147871862</c:v>
                </c:pt>
                <c:pt idx="96">
                  <c:v>0.86111369192452658</c:v>
                </c:pt>
                <c:pt idx="97">
                  <c:v>0.85576720185190358</c:v>
                </c:pt>
                <c:pt idx="98">
                  <c:v>0.85040399037087522</c:v>
                </c:pt>
                <c:pt idx="99">
                  <c:v>0.84502063118649751</c:v>
                </c:pt>
                <c:pt idx="100">
                  <c:v>0.83961390913653822</c:v>
                </c:pt>
                <c:pt idx="101">
                  <c:v>0.83418081712131309</c:v>
                </c:pt>
                <c:pt idx="102">
                  <c:v>0.82871855337046874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Sheet3!$F$6</c:f>
              <c:strCache>
                <c:ptCount val="1"/>
                <c:pt idx="0">
                  <c:v>40%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Sheet3!$F$7:$F$109</c:f>
              <c:numCache>
                <c:formatCode>0.00</c:formatCode>
                <c:ptCount val="103"/>
                <c:pt idx="0">
                  <c:v>1.0607609382546448</c:v>
                </c:pt>
                <c:pt idx="1">
                  <c:v>1.139900879779135</c:v>
                </c:pt>
                <c:pt idx="2">
                  <c:v>1.2271383614132922</c:v>
                </c:pt>
                <c:pt idx="3">
                  <c:v>1.3234036837448586</c:v>
                </c:pt>
                <c:pt idx="4">
                  <c:v>1.4296617380476362</c:v>
                </c:pt>
                <c:pt idx="5">
                  <c:v>1.5468493860664583</c:v>
                </c:pt>
                <c:pt idx="6">
                  <c:v>1.6757638309900837</c:v>
                </c:pt>
                <c:pt idx="7">
                  <c:v>1.8168768306043854</c:v>
                </c:pt>
                <c:pt idx="8">
                  <c:v>1.9700443950005104</c:v>
                </c:pt>
                <c:pt idx="9">
                  <c:v>2.1340853795306831</c:v>
                </c:pt>
                <c:pt idx="10">
                  <c:v>2.3062301031752277</c:v>
                </c:pt>
                <c:pt idx="11">
                  <c:v>2.4815147396084138</c:v>
                </c:pt>
                <c:pt idx="12">
                  <c:v>2.6523361272299399</c:v>
                </c:pt>
                <c:pt idx="13">
                  <c:v>2.8085531215046284</c:v>
                </c:pt>
                <c:pt idx="14">
                  <c:v>2.9385794324139258</c:v>
                </c:pt>
                <c:pt idx="15">
                  <c:v>3.0316164180036247</c:v>
                </c:pt>
                <c:pt idx="16">
                  <c:v>3.0804448144628869</c:v>
                </c:pt>
                <c:pt idx="17">
                  <c:v>3.0834963288747841</c:v>
                </c:pt>
                <c:pt idx="18">
                  <c:v>3.0450622003215964</c:v>
                </c:pt>
                <c:pt idx="19">
                  <c:v>2.9735956216337969</c:v>
                </c:pt>
                <c:pt idx="20">
                  <c:v>2.8791613685992394</c:v>
                </c:pt>
                <c:pt idx="21">
                  <c:v>2.7712494049660887</c:v>
                </c:pt>
                <c:pt idx="22">
                  <c:v>2.6575494941253113</c:v>
                </c:pt>
                <c:pt idx="23">
                  <c:v>2.5436223519105692</c:v>
                </c:pt>
                <c:pt idx="24">
                  <c:v>2.4331133559917562</c:v>
                </c:pt>
                <c:pt idx="25">
                  <c:v>2.3281767175649142</c:v>
                </c:pt>
                <c:pt idx="26">
                  <c:v>2.2299091945346943</c:v>
                </c:pt>
                <c:pt idx="27">
                  <c:v>2.1387079919389165</c:v>
                </c:pt>
                <c:pt idx="28">
                  <c:v>2.0545350316950537</c:v>
                </c:pt>
                <c:pt idx="29">
                  <c:v>1.9770991009091998</c:v>
                </c:pt>
                <c:pt idx="30">
                  <c:v>1.9059754495372343</c:v>
                </c:pt>
                <c:pt idx="31">
                  <c:v>1.8406812623418438</c:v>
                </c:pt>
                <c:pt idx="32">
                  <c:v>1.7807214529078976</c:v>
                </c:pt>
                <c:pt idx="33">
                  <c:v>1.7256151465524965</c:v>
                </c:pt>
                <c:pt idx="34">
                  <c:v>1.6749099221737003</c:v>
                </c:pt>
                <c:pt idx="35">
                  <c:v>1.6281884825763497</c:v>
                </c:pt>
                <c:pt idx="36">
                  <c:v>1.5850707698291384</c:v>
                </c:pt>
                <c:pt idx="37">
                  <c:v>1.5452134411420158</c:v>
                </c:pt>
                <c:pt idx="38">
                  <c:v>1.508307902686689</c:v>
                </c:pt>
                <c:pt idx="39">
                  <c:v>1.4740776372454905</c:v>
                </c:pt>
                <c:pt idx="40">
                  <c:v>1.44227526819801</c:v>
                </c:pt>
                <c:pt idx="41">
                  <c:v>1.4126796177134724</c:v>
                </c:pt>
                <c:pt idx="42">
                  <c:v>1.3850929020368183</c:v>
                </c:pt>
                <c:pt idx="43">
                  <c:v>1.3593381360986525</c:v>
                </c:pt>
                <c:pt idx="44">
                  <c:v>1.3352567770507799</c:v>
                </c:pt>
                <c:pt idx="45">
                  <c:v>1.3127066113122234</c:v>
                </c:pt>
                <c:pt idx="46">
                  <c:v>1.2915598756701823</c:v>
                </c:pt>
                <c:pt idx="47">
                  <c:v>1.2717015957046902</c:v>
                </c:pt>
                <c:pt idx="48">
                  <c:v>1.2530281216312655</c:v>
                </c:pt>
                <c:pt idx="49">
                  <c:v>1.235445840906058</c:v>
                </c:pt>
                <c:pt idx="50">
                  <c:v>1.2188700475649425</c:v>
                </c:pt>
                <c:pt idx="51">
                  <c:v>1.2032239496230002</c:v>
                </c:pt>
                <c:pt idx="52">
                  <c:v>1.1884377975486156</c:v>
                </c:pt>
                <c:pt idx="53">
                  <c:v>1.1744481186113649</c:v>
                </c:pt>
                <c:pt idx="54">
                  <c:v>1.1611970436500683</c:v>
                </c:pt>
                <c:pt idx="55">
                  <c:v>1.1486317144439575</c:v>
                </c:pt>
                <c:pt idx="56">
                  <c:v>1.1367037613615405</c:v>
                </c:pt>
                <c:pt idx="57">
                  <c:v>1.1253688422968622</c:v>
                </c:pt>
                <c:pt idx="58">
                  <c:v>1.1145862350832416</c:v>
                </c:pt>
                <c:pt idx="59">
                  <c:v>1.1043184766092928</c:v>
                </c:pt>
                <c:pt idx="60">
                  <c:v>1.0945310427636672</c:v>
                </c:pt>
                <c:pt idx="61">
                  <c:v>1.0851920641173323</c:v>
                </c:pt>
                <c:pt idx="62">
                  <c:v>1.0762720729292981</c:v>
                </c:pt>
                <c:pt idx="63">
                  <c:v>1.0677437776465322</c:v>
                </c:pt>
                <c:pt idx="64">
                  <c:v>1.059581861573502</c:v>
                </c:pt>
                <c:pt idx="65">
                  <c:v>1.0517628028220727</c:v>
                </c:pt>
                <c:pt idx="66">
                  <c:v>1.0442647130279392</c:v>
                </c:pt>
                <c:pt idx="67">
                  <c:v>1.0370671926437174</c:v>
                </c:pt>
                <c:pt idx="68">
                  <c:v>1.0301512008984743</c:v>
                </c:pt>
                <c:pt idx="69">
                  <c:v>1.0234989387551379</c:v>
                </c:pt>
                <c:pt idx="70">
                  <c:v>1.0170937434062233</c:v>
                </c:pt>
                <c:pt idx="71">
                  <c:v>1.01091999302929</c:v>
                </c:pt>
                <c:pt idx="72">
                  <c:v>1.004963020680437</c:v>
                </c:pt>
                <c:pt idx="73">
                  <c:v>0.99920903634035085</c:v>
                </c:pt>
                <c:pt idx="74">
                  <c:v>0.99364505624583199</c:v>
                </c:pt>
                <c:pt idx="75">
                  <c:v>0.98825883874276865</c:v>
                </c:pt>
                <c:pt idx="76">
                  <c:v>0.98303882598642967</c:v>
                </c:pt>
                <c:pt idx="77">
                  <c:v>0.97797409089335896</c:v>
                </c:pt>
                <c:pt idx="78">
                  <c:v>0.97305428881778344</c:v>
                </c:pt>
                <c:pt idx="79">
                  <c:v>0.96826961348551277</c:v>
                </c:pt>
                <c:pt idx="80">
                  <c:v>0.96361075677098151</c:v>
                </c:pt>
                <c:pt idx="81">
                  <c:v>0.95906887194936574</c:v>
                </c:pt>
                <c:pt idx="82">
                  <c:v>0.95463554009640017</c:v>
                </c:pt>
                <c:pt idx="83">
                  <c:v>0.95030273934436593</c:v>
                </c:pt>
                <c:pt idx="84">
                  <c:v>0.94606281673433135</c:v>
                </c:pt>
                <c:pt idx="85">
                  <c:v>0.94190846243267501</c:v>
                </c:pt>
                <c:pt idx="86">
                  <c:v>0.93783268610456871</c:v>
                </c:pt>
                <c:pt idx="87">
                  <c:v>0.93382879525901386</c:v>
                </c:pt>
                <c:pt idx="88">
                  <c:v>0.92989037539936759</c:v>
                </c:pt>
                <c:pt idx="89">
                  <c:v>0.92601127183049914</c:v>
                </c:pt>
                <c:pt idx="90">
                  <c:v>0.92218557298899695</c:v>
                </c:pt>
                <c:pt idx="91">
                  <c:v>0.91840759517641191</c:v>
                </c:pt>
                <c:pt idx="92">
                  <c:v>0.91467186858758509</c:v>
                </c:pt>
                <c:pt idx="93">
                  <c:v>0.91097312453686874</c:v>
                </c:pt>
                <c:pt idx="94">
                  <c:v>0.90730628379457801</c:v>
                </c:pt>
                <c:pt idx="95">
                  <c:v>0.90366644595453482</c:v>
                </c:pt>
                <c:pt idx="96">
                  <c:v>0.90004887976111581</c:v>
                </c:pt>
                <c:pt idx="97">
                  <c:v>0.89644901433094171</c:v>
                </c:pt>
                <c:pt idx="98">
                  <c:v>0.89286243121031161</c:v>
                </c:pt>
                <c:pt idx="99">
                  <c:v>0.88928485721477091</c:v>
                </c:pt>
                <c:pt idx="100">
                  <c:v>0.88571215800187875</c:v>
                </c:pt>
                <c:pt idx="101">
                  <c:v>0.88214033233236744</c:v>
                </c:pt>
                <c:pt idx="102">
                  <c:v>0.87856550697849767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Sheet3!$G$6</c:f>
              <c:strCache>
                <c:ptCount val="1"/>
                <c:pt idx="0">
                  <c:v>20%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Sheet3!$G$7:$G$109</c:f>
              <c:numCache>
                <c:formatCode>0.00</c:formatCode>
                <c:ptCount val="103"/>
                <c:pt idx="0">
                  <c:v>1.1845129673431478</c:v>
                </c:pt>
                <c:pt idx="1">
                  <c:v>1.2891239828853174</c:v>
                </c:pt>
                <c:pt idx="2">
                  <c:v>1.4085282049882917</c:v>
                </c:pt>
                <c:pt idx="3">
                  <c:v>1.5458143062183498</c:v>
                </c:pt>
                <c:pt idx="4">
                  <c:v>1.7049136449618798</c:v>
                </c:pt>
                <c:pt idx="5">
                  <c:v>1.8908622489950606</c:v>
                </c:pt>
                <c:pt idx="6">
                  <c:v>2.1101295122244967</c:v>
                </c:pt>
                <c:pt idx="7">
                  <c:v>2.3709896306792206</c:v>
                </c:pt>
                <c:pt idx="8">
                  <c:v>2.6838219817936992</c:v>
                </c:pt>
                <c:pt idx="9">
                  <c:v>3.0609775864747513</c:v>
                </c:pt>
                <c:pt idx="10">
                  <c:v>3.5152135377083495</c:v>
                </c:pt>
                <c:pt idx="11">
                  <c:v>4.0542728754987163</c:v>
                </c:pt>
                <c:pt idx="12">
                  <c:v>4.6669025880489494</c:v>
                </c:pt>
                <c:pt idx="13">
                  <c:v>5.2960135773906156</c:v>
                </c:pt>
                <c:pt idx="14">
                  <c:v>5.8127761928751971</c:v>
                </c:pt>
                <c:pt idx="15">
                  <c:v>6.0503246885383311</c:v>
                </c:pt>
                <c:pt idx="16">
                  <c:v>5.9308481043192325</c:v>
                </c:pt>
                <c:pt idx="17">
                  <c:v>5.5406884797462652</c:v>
                </c:pt>
                <c:pt idx="18">
                  <c:v>5.0363574485058624</c:v>
                </c:pt>
                <c:pt idx="19">
                  <c:v>4.5323356091546776</c:v>
                </c:pt>
                <c:pt idx="20">
                  <c:v>4.080193495005064</c:v>
                </c:pt>
                <c:pt idx="21">
                  <c:v>3.6927457159766965</c:v>
                </c:pt>
                <c:pt idx="22">
                  <c:v>3.3662516376802127</c:v>
                </c:pt>
                <c:pt idx="23">
                  <c:v>3.0919250332987973</c:v>
                </c:pt>
                <c:pt idx="24">
                  <c:v>2.8606037825579014</c:v>
                </c:pt>
                <c:pt idx="25">
                  <c:v>2.6642783920565085</c:v>
                </c:pt>
                <c:pt idx="26">
                  <c:v>2.4963865431973984</c:v>
                </c:pt>
                <c:pt idx="27">
                  <c:v>2.3516873453102018</c:v>
                </c:pt>
                <c:pt idx="28">
                  <c:v>2.2260298590628103</c:v>
                </c:pt>
                <c:pt idx="29">
                  <c:v>2.1161261623711716</c:v>
                </c:pt>
                <c:pt idx="30">
                  <c:v>2.0193606723169846</c:v>
                </c:pt>
                <c:pt idx="31">
                  <c:v>1.9336392385219741</c:v>
                </c:pt>
                <c:pt idx="32">
                  <c:v>1.8572727117826568</c:v>
                </c:pt>
                <c:pt idx="33">
                  <c:v>1.7888879827166362</c:v>
                </c:pt>
                <c:pt idx="34">
                  <c:v>1.7273601276335104</c:v>
                </c:pt>
                <c:pt idx="35">
                  <c:v>1.6717605202925456</c:v>
                </c:pt>
                <c:pt idx="36">
                  <c:v>1.6213169558926901</c:v>
                </c:pt>
                <c:pt idx="37">
                  <c:v>1.5753828145865019</c:v>
                </c:pt>
                <c:pt idx="38">
                  <c:v>1.5334130503179517</c:v>
                </c:pt>
                <c:pt idx="39">
                  <c:v>1.4949453597172839</c:v>
                </c:pt>
                <c:pt idx="40">
                  <c:v>1.4595853066097328</c:v>
                </c:pt>
                <c:pt idx="41">
                  <c:v>1.4269944873240223</c:v>
                </c:pt>
                <c:pt idx="42">
                  <c:v>1.3968810497158888</c:v>
                </c:pt>
                <c:pt idx="43">
                  <c:v>1.3689920467374868</c:v>
                </c:pt>
                <c:pt idx="44">
                  <c:v>1.3431072297247058</c:v>
                </c:pt>
                <c:pt idx="45">
                  <c:v>1.3190339791391359</c:v>
                </c:pt>
                <c:pt idx="46">
                  <c:v>1.2966031398193383</c:v>
                </c:pt>
                <c:pt idx="47">
                  <c:v>1.2756655800305612</c:v>
                </c:pt>
                <c:pt idx="48">
                  <c:v>1.2560893332154237</c:v>
                </c:pt>
                <c:pt idx="49">
                  <c:v>1.2377572115829056</c:v>
                </c:pt>
                <c:pt idx="50">
                  <c:v>1.2205648038964934</c:v>
                </c:pt>
                <c:pt idx="51">
                  <c:v>1.2044187877717933</c:v>
                </c:pt>
                <c:pt idx="52">
                  <c:v>1.1892355007517545</c:v>
                </c:pt>
                <c:pt idx="53">
                  <c:v>1.1749397253456817</c:v>
                </c:pt>
                <c:pt idx="54">
                  <c:v>1.1614636518076611</c:v>
                </c:pt>
                <c:pt idx="55">
                  <c:v>1.1487459892248946</c:v>
                </c:pt>
                <c:pt idx="56">
                  <c:v>1.1367312008905643</c:v>
                </c:pt>
                <c:pt idx="57">
                  <c:v>1.1253688442560634</c:v>
                </c:pt>
                <c:pt idx="58">
                  <c:v>1.114612999228312</c:v>
                </c:pt>
                <c:pt idx="59">
                  <c:v>1.1044217713798485</c:v>
                </c:pt>
                <c:pt idx="60">
                  <c:v>1.0947568589117411</c:v>
                </c:pt>
                <c:pt idx="61">
                  <c:v>1.0855831740604487</c:v>
                </c:pt>
                <c:pt idx="62">
                  <c:v>1.0768685111541503</c:v>
                </c:pt>
                <c:pt idx="63">
                  <c:v>1.0685832547680676</c:v>
                </c:pt>
                <c:pt idx="64">
                  <c:v>1.0607001224543233</c:v>
                </c:pt>
                <c:pt idx="65">
                  <c:v>1.0531939373713084</c:v>
                </c:pt>
                <c:pt idx="66">
                  <c:v>1.0460414268433922</c:v>
                </c:pt>
                <c:pt idx="67">
                  <c:v>1.0392210434704514</c:v>
                </c:pt>
                <c:pt idx="68">
                  <c:v>1.0327128058992574</c:v>
                </c:pt>
                <c:pt idx="69">
                  <c:v>1.026498156782329</c:v>
                </c:pt>
                <c:pt idx="70">
                  <c:v>1.020559835798184</c:v>
                </c:pt>
                <c:pt idx="71">
                  <c:v>1.014881765901213</c:v>
                </c:pt>
                <c:pt idx="72">
                  <c:v>1.0094489512187987</c:v>
                </c:pt>
                <c:pt idx="73">
                  <c:v>1.0042473852252454</c:v>
                </c:pt>
                <c:pt idx="74">
                  <c:v>0.99926396800273432</c:v>
                </c:pt>
                <c:pt idx="75">
                  <c:v>0.99448643155385363</c:v>
                </c:pt>
                <c:pt idx="76">
                  <c:v>0.98990327226255426</c:v>
                </c:pt>
                <c:pt idx="77">
                  <c:v>0.98550368971394242</c:v>
                </c:pt>
                <c:pt idx="78">
                  <c:v>0.98127753118119398</c:v>
                </c:pt>
                <c:pt idx="79">
                  <c:v>0.97721524117228675</c:v>
                </c:pt>
                <c:pt idx="80">
                  <c:v>0.97330781550232959</c:v>
                </c:pt>
                <c:pt idx="81">
                  <c:v>0.96954675942059254</c:v>
                </c:pt>
                <c:pt idx="82">
                  <c:v>0.96592404937641863</c:v>
                </c:pt>
                <c:pt idx="83">
                  <c:v>0.96243209805613239</c:v>
                </c:pt>
                <c:pt idx="84">
                  <c:v>0.95906372236489468</c:v>
                </c:pt>
                <c:pt idx="85">
                  <c:v>0.9558121140640673</c:v>
                </c:pt>
                <c:pt idx="86">
                  <c:v>0.95267081280666932</c:v>
                </c:pt>
                <c:pt idx="87">
                  <c:v>0.94963368134168946</c:v>
                </c:pt>
                <c:pt idx="88">
                  <c:v>0.94669488268275159</c:v>
                </c:pt>
                <c:pt idx="89">
                  <c:v>0.94384885905843596</c:v>
                </c:pt>
                <c:pt idx="90">
                  <c:v>0.94109031248082842</c:v>
                </c:pt>
                <c:pt idx="91">
                  <c:v>0.93841418678588728</c:v>
                </c:pt>
                <c:pt idx="92">
                  <c:v>0.93581565101429021</c:v>
                </c:pt>
                <c:pt idx="93">
                  <c:v>0.93329008401482738</c:v>
                </c:pt>
                <c:pt idx="94">
                  <c:v>0.93083306016428369</c:v>
                </c:pt>
                <c:pt idx="95">
                  <c:v>0.92844033610835497</c:v>
                </c:pt>
                <c:pt idx="96">
                  <c:v>0.92610783843758571</c:v>
                </c:pt>
                <c:pt idx="97">
                  <c:v>0.92383165222075569</c:v>
                </c:pt>
                <c:pt idx="98">
                  <c:v>0.92160801032568929</c:v>
                </c:pt>
                <c:pt idx="99">
                  <c:v>0.91943328346423081</c:v>
                </c:pt>
                <c:pt idx="100">
                  <c:v>0.91730397090420135</c:v>
                </c:pt>
                <c:pt idx="101">
                  <c:v>0.91521669179661647</c:v>
                </c:pt>
                <c:pt idx="102">
                  <c:v>0.91316817707135833</c:v>
                </c:pt>
              </c:numCache>
            </c:numRef>
          </c:yVal>
          <c:smooth val="1"/>
        </c:ser>
        <c:axId val="112521984"/>
        <c:axId val="112523904"/>
      </c:scatterChart>
      <c:valAx>
        <c:axId val="112521984"/>
        <c:scaling>
          <c:orientation val="minMax"/>
          <c:max val="150"/>
          <c:min val="39"/>
        </c:scaling>
        <c:axPos val="b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freq (kHz)</a:t>
                </a:r>
              </a:p>
            </c:rich>
          </c:tx>
          <c:layout/>
        </c:title>
        <c:numFmt formatCode="#,##0_ " sourceLinked="0"/>
        <c:majorTickMark val="none"/>
        <c:tickLblPos val="nextTo"/>
        <c:txPr>
          <a:bodyPr/>
          <a:lstStyle/>
          <a:p>
            <a:pPr>
              <a:defRPr lang="en-US" sz="800"/>
            </a:pPr>
            <a:endParaRPr lang="en-US"/>
          </a:p>
        </c:txPr>
        <c:crossAx val="112523904"/>
        <c:crosses val="autoZero"/>
        <c:crossBetween val="midCat"/>
        <c:majorUnit val="10"/>
        <c:minorUnit val="5"/>
      </c:valAx>
      <c:valAx>
        <c:axId val="112523904"/>
        <c:scaling>
          <c:orientation val="minMax"/>
          <c:max val="1.8"/>
          <c:min val="0.80000000100000002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Gain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 lang="en-US" sz="800"/>
            </a:pPr>
            <a:endParaRPr lang="en-US"/>
          </a:p>
        </c:txPr>
        <c:crossAx val="112521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609403741430203"/>
          <c:y val="0.11136802723692477"/>
          <c:w val="0.26679608262263615"/>
          <c:h val="0.3231978279813475"/>
        </c:manualLayout>
      </c:layout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7632697469599255E-2"/>
          <c:y val="2.2284628834225419E-2"/>
          <c:w val="0.91549295774647887"/>
          <c:h val="0.92743247892749558"/>
        </c:manualLayout>
      </c:layout>
      <c:scatterChart>
        <c:scatterStyle val="smoothMarker"/>
        <c:ser>
          <c:idx val="0"/>
          <c:order val="0"/>
          <c:tx>
            <c:strRef>
              <c:f>Sheet2!$B$26</c:f>
              <c:strCache>
                <c:ptCount val="1"/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Sheet2!$B$27:$B$39</c:f>
              <c:numCache>
                <c:formatCode>General</c:formatCode>
                <c:ptCount val="13"/>
              </c:numCache>
            </c:numRef>
          </c:yVal>
          <c:smooth val="1"/>
        </c:ser>
        <c:ser>
          <c:idx val="1"/>
          <c:order val="1"/>
          <c:tx>
            <c:strRef>
              <c:f>Sheet2!$C$26</c:f>
              <c:strCache>
                <c:ptCount val="1"/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Sheet2!$C$27:$C$39</c:f>
              <c:numCache>
                <c:formatCode>General</c:formatCode>
                <c:ptCount val="13"/>
              </c:numCache>
            </c:numRef>
          </c:yVal>
          <c:smooth val="1"/>
        </c:ser>
        <c:ser>
          <c:idx val="2"/>
          <c:order val="2"/>
          <c:tx>
            <c:strRef>
              <c:f>Sheet2!$D$26</c:f>
              <c:strCache>
                <c:ptCount val="1"/>
                <c:pt idx="0">
                  <c:v>m=2.5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Sheet2!$D$27:$D$39</c:f>
              <c:numCache>
                <c:formatCode>General</c:formatCode>
                <c:ptCount val="13"/>
                <c:pt idx="1">
                  <c:v>1.373</c:v>
                </c:pt>
                <c:pt idx="2">
                  <c:v>1.391</c:v>
                </c:pt>
                <c:pt idx="3">
                  <c:v>1.4159999999999999</c:v>
                </c:pt>
                <c:pt idx="4">
                  <c:v>1.45</c:v>
                </c:pt>
                <c:pt idx="5">
                  <c:v>1.502</c:v>
                </c:pt>
                <c:pt idx="6">
                  <c:v>1.5820000000000001</c:v>
                </c:pt>
                <c:pt idx="7">
                  <c:v>1.7070000000000001</c:v>
                </c:pt>
                <c:pt idx="8">
                  <c:v>1.9119999999999999</c:v>
                </c:pt>
                <c:pt idx="9">
                  <c:v>2.2559999999999998</c:v>
                </c:pt>
                <c:pt idx="10">
                  <c:v>2.8759999999999999</c:v>
                </c:pt>
                <c:pt idx="11">
                  <c:v>4.1829999999999998</c:v>
                </c:pt>
                <c:pt idx="12">
                  <c:v>8.2149999999999999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Sheet2!$E$26</c:f>
              <c:strCache>
                <c:ptCount val="1"/>
                <c:pt idx="0">
                  <c:v>m=3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Sheet2!$E$27:$E$39</c:f>
              <c:numCache>
                <c:formatCode>General</c:formatCode>
                <c:ptCount val="13"/>
                <c:pt idx="1">
                  <c:v>1.2789999999999999</c:v>
                </c:pt>
                <c:pt idx="2">
                  <c:v>1.2909999999999999</c:v>
                </c:pt>
                <c:pt idx="3">
                  <c:v>1.3080000000000001</c:v>
                </c:pt>
                <c:pt idx="4">
                  <c:v>1.331</c:v>
                </c:pt>
                <c:pt idx="5">
                  <c:v>1.3680000000000001</c:v>
                </c:pt>
                <c:pt idx="6">
                  <c:v>1.4259999999999999</c:v>
                </c:pt>
                <c:pt idx="7">
                  <c:v>1.5229999999999999</c:v>
                </c:pt>
                <c:pt idx="8">
                  <c:v>1.6879999999999999</c:v>
                </c:pt>
                <c:pt idx="9">
                  <c:v>1.976</c:v>
                </c:pt>
                <c:pt idx="10">
                  <c:v>2.5070000000000001</c:v>
                </c:pt>
                <c:pt idx="11">
                  <c:v>3.629</c:v>
                </c:pt>
                <c:pt idx="12">
                  <c:v>7.0659999999999998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Sheet2!$F$26</c:f>
              <c:strCache>
                <c:ptCount val="1"/>
                <c:pt idx="0">
                  <c:v>m=3.5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Sheet2!$F$27:$F$39</c:f>
              <c:numCache>
                <c:formatCode>General</c:formatCode>
                <c:ptCount val="13"/>
                <c:pt idx="1">
                  <c:v>1.2210000000000001</c:v>
                </c:pt>
                <c:pt idx="2">
                  <c:v>1.23</c:v>
                </c:pt>
                <c:pt idx="3">
                  <c:v>1.2410000000000001</c:v>
                </c:pt>
                <c:pt idx="4">
                  <c:v>1.2589999999999999</c:v>
                </c:pt>
                <c:pt idx="5">
                  <c:v>1.2849999999999999</c:v>
                </c:pt>
                <c:pt idx="6">
                  <c:v>1.3280000000000001</c:v>
                </c:pt>
                <c:pt idx="7">
                  <c:v>1.4039999999999999</c:v>
                </c:pt>
                <c:pt idx="8">
                  <c:v>1.54</c:v>
                </c:pt>
                <c:pt idx="9">
                  <c:v>1.788</c:v>
                </c:pt>
                <c:pt idx="10">
                  <c:v>2.2559999999999998</c:v>
                </c:pt>
                <c:pt idx="11">
                  <c:v>3.2549999999999999</c:v>
                </c:pt>
                <c:pt idx="12">
                  <c:v>6.3579999999999997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Sheet2!$G$26</c:f>
              <c:strCache>
                <c:ptCount val="1"/>
                <c:pt idx="0">
                  <c:v>m=4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Sheet2!$G$27:$G$39</c:f>
              <c:numCache>
                <c:formatCode>General</c:formatCode>
                <c:ptCount val="13"/>
                <c:pt idx="1">
                  <c:v>1.1830000000000001</c:v>
                </c:pt>
                <c:pt idx="2">
                  <c:v>1.1890000000000001</c:v>
                </c:pt>
                <c:pt idx="3">
                  <c:v>1.198</c:v>
                </c:pt>
                <c:pt idx="4">
                  <c:v>1.2110000000000001</c:v>
                </c:pt>
                <c:pt idx="5">
                  <c:v>1.23</c:v>
                </c:pt>
                <c:pt idx="6">
                  <c:v>1.2629999999999999</c:v>
                </c:pt>
                <c:pt idx="7">
                  <c:v>1.3220000000000001</c:v>
                </c:pt>
                <c:pt idx="8">
                  <c:v>1.4350000000000001</c:v>
                </c:pt>
                <c:pt idx="9">
                  <c:v>1.6519999999999999</c:v>
                </c:pt>
                <c:pt idx="10">
                  <c:v>2.0710000000000002</c:v>
                </c:pt>
                <c:pt idx="11">
                  <c:v>2.9769999999999999</c:v>
                </c:pt>
                <c:pt idx="12">
                  <c:v>5.806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Sheet2!$H$26</c:f>
              <c:strCache>
                <c:ptCount val="1"/>
                <c:pt idx="0">
                  <c:v>m=4.5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Sheet2!$H$27:$H$39</c:f>
              <c:numCache>
                <c:formatCode>General</c:formatCode>
                <c:ptCount val="13"/>
                <c:pt idx="1">
                  <c:v>1.1559999999999999</c:v>
                </c:pt>
                <c:pt idx="2">
                  <c:v>1.1599999999999999</c:v>
                </c:pt>
                <c:pt idx="3">
                  <c:v>1.167</c:v>
                </c:pt>
                <c:pt idx="4">
                  <c:v>1.177</c:v>
                </c:pt>
                <c:pt idx="5">
                  <c:v>1.1919999999999999</c:v>
                </c:pt>
                <c:pt idx="6">
                  <c:v>1.2170000000000001</c:v>
                </c:pt>
                <c:pt idx="7">
                  <c:v>1.2629999999999999</c:v>
                </c:pt>
                <c:pt idx="8">
                  <c:v>1.3580000000000001</c:v>
                </c:pt>
                <c:pt idx="9">
                  <c:v>1.548</c:v>
                </c:pt>
                <c:pt idx="10">
                  <c:v>1.93</c:v>
                </c:pt>
                <c:pt idx="11">
                  <c:v>2.766</c:v>
                </c:pt>
                <c:pt idx="12">
                  <c:v>5.3890000000000002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Sheet2!$I$26</c:f>
              <c:strCache>
                <c:ptCount val="1"/>
                <c:pt idx="0">
                  <c:v>m=5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Sheet2!$I$27:$I$39</c:f>
              <c:numCache>
                <c:formatCode>General</c:formatCode>
                <c:ptCount val="13"/>
                <c:pt idx="1">
                  <c:v>1.135</c:v>
                </c:pt>
                <c:pt idx="2">
                  <c:v>1.139</c:v>
                </c:pt>
                <c:pt idx="3">
                  <c:v>1.1439999999999999</c:v>
                </c:pt>
                <c:pt idx="4">
                  <c:v>1.1519999999999999</c:v>
                </c:pt>
                <c:pt idx="5">
                  <c:v>1.163</c:v>
                </c:pt>
                <c:pt idx="6">
                  <c:v>1.1830000000000001</c:v>
                </c:pt>
                <c:pt idx="7">
                  <c:v>1.22</c:v>
                </c:pt>
                <c:pt idx="8">
                  <c:v>1.298</c:v>
                </c:pt>
                <c:pt idx="9">
                  <c:v>1.4670000000000001</c:v>
                </c:pt>
                <c:pt idx="10">
                  <c:v>1.8160000000000001</c:v>
                </c:pt>
                <c:pt idx="11">
                  <c:v>2.5939999999999999</c:v>
                </c:pt>
                <c:pt idx="12">
                  <c:v>5.0449999999999999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Sheet2!$J$26</c:f>
              <c:strCache>
                <c:ptCount val="1"/>
                <c:pt idx="0">
                  <c:v>m=6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Sheet2!$J$27:$J$39</c:f>
              <c:numCache>
                <c:formatCode>General</c:formatCode>
                <c:ptCount val="13"/>
                <c:pt idx="1">
                  <c:v>1.107</c:v>
                </c:pt>
                <c:pt idx="2">
                  <c:v>1.1100000000000001</c:v>
                </c:pt>
                <c:pt idx="3">
                  <c:v>1.1180000000000001</c:v>
                </c:pt>
                <c:pt idx="4">
                  <c:v>1.1180000000000001</c:v>
                </c:pt>
                <c:pt idx="5">
                  <c:v>1.125</c:v>
                </c:pt>
                <c:pt idx="6">
                  <c:v>1.1379999999999999</c:v>
                </c:pt>
                <c:pt idx="7">
                  <c:v>1.1619999999999999</c:v>
                </c:pt>
                <c:pt idx="8">
                  <c:v>1.216</c:v>
                </c:pt>
                <c:pt idx="9">
                  <c:v>1.3480000000000001</c:v>
                </c:pt>
                <c:pt idx="10">
                  <c:v>1.6459999999999999</c:v>
                </c:pt>
                <c:pt idx="11">
                  <c:v>2.3319999999999999</c:v>
                </c:pt>
                <c:pt idx="12">
                  <c:v>4.508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Sheet2!$K$26</c:f>
              <c:strCache>
                <c:ptCount val="1"/>
                <c:pt idx="0">
                  <c:v>m=7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Sheet2!$K$27:$K$39</c:f>
              <c:numCache>
                <c:formatCode>General</c:formatCode>
                <c:ptCount val="13"/>
                <c:pt idx="1">
                  <c:v>1.0880000000000001</c:v>
                </c:pt>
                <c:pt idx="2">
                  <c:v>1.0900000000000001</c:v>
                </c:pt>
                <c:pt idx="3">
                  <c:v>1.093</c:v>
                </c:pt>
                <c:pt idx="4">
                  <c:v>1.0960000000000001</c:v>
                </c:pt>
                <c:pt idx="5">
                  <c:v>1.101</c:v>
                </c:pt>
                <c:pt idx="6">
                  <c:v>1.1100000000000001</c:v>
                </c:pt>
                <c:pt idx="7">
                  <c:v>1.1259999999999999</c:v>
                </c:pt>
                <c:pt idx="8">
                  <c:v>1.163</c:v>
                </c:pt>
                <c:pt idx="9">
                  <c:v>1.2649999999999999</c:v>
                </c:pt>
                <c:pt idx="10">
                  <c:v>1.5229999999999999</c:v>
                </c:pt>
                <c:pt idx="11">
                  <c:v>2.14</c:v>
                </c:pt>
                <c:pt idx="12">
                  <c:v>4.1289999999999996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Sheet2!$L$26</c:f>
              <c:strCache>
                <c:ptCount val="1"/>
                <c:pt idx="0">
                  <c:v>m=8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Sheet2!$L$27:$L$39</c:f>
              <c:numCache>
                <c:formatCode>General</c:formatCode>
                <c:ptCount val="13"/>
                <c:pt idx="1">
                  <c:v>1.075</c:v>
                </c:pt>
                <c:pt idx="2">
                  <c:v>1.077</c:v>
                </c:pt>
                <c:pt idx="3">
                  <c:v>1.0780000000000001</c:v>
                </c:pt>
                <c:pt idx="4">
                  <c:v>1.081</c:v>
                </c:pt>
                <c:pt idx="5">
                  <c:v>1.085</c:v>
                </c:pt>
                <c:pt idx="6">
                  <c:v>1.091</c:v>
                </c:pt>
                <c:pt idx="7">
                  <c:v>1.1020000000000001</c:v>
                </c:pt>
                <c:pt idx="8">
                  <c:v>1.1279999999999999</c:v>
                </c:pt>
                <c:pt idx="9">
                  <c:v>1.206</c:v>
                </c:pt>
                <c:pt idx="10">
                  <c:v>1.43</c:v>
                </c:pt>
                <c:pt idx="11">
                  <c:v>1.9930000000000001</c:v>
                </c:pt>
                <c:pt idx="12">
                  <c:v>3.8279999999999998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Sheet2!$M$26</c:f>
              <c:strCache>
                <c:ptCount val="1"/>
                <c:pt idx="0">
                  <c:v>m=9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Sheet2!$M$27:$M$39</c:f>
              <c:numCache>
                <c:formatCode>General</c:formatCode>
                <c:ptCount val="13"/>
                <c:pt idx="1">
                  <c:v>1.0649999999999999</c:v>
                </c:pt>
                <c:pt idx="2">
                  <c:v>1.0660000000000001</c:v>
                </c:pt>
                <c:pt idx="3">
                  <c:v>1.0680000000000001</c:v>
                </c:pt>
                <c:pt idx="4">
                  <c:v>1.07</c:v>
                </c:pt>
                <c:pt idx="5">
                  <c:v>1.073</c:v>
                </c:pt>
                <c:pt idx="6">
                  <c:v>1.077</c:v>
                </c:pt>
                <c:pt idx="7">
                  <c:v>1.0860000000000001</c:v>
                </c:pt>
                <c:pt idx="8">
                  <c:v>1.1040000000000001</c:v>
                </c:pt>
                <c:pt idx="9">
                  <c:v>1.163</c:v>
                </c:pt>
                <c:pt idx="10">
                  <c:v>1.357</c:v>
                </c:pt>
                <c:pt idx="11">
                  <c:v>1.8740000000000001</c:v>
                </c:pt>
                <c:pt idx="12">
                  <c:v>3.5830000000000002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Sheet2!$N$26</c:f>
              <c:strCache>
                <c:ptCount val="1"/>
                <c:pt idx="0">
                  <c:v>m=10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Sheet2!$N$27:$N$39</c:f>
              <c:numCache>
                <c:formatCode>General</c:formatCode>
                <c:ptCount val="13"/>
                <c:pt idx="1">
                  <c:v>1.0580000000000001</c:v>
                </c:pt>
                <c:pt idx="2">
                  <c:v>1.0589999999999999</c:v>
                </c:pt>
                <c:pt idx="3">
                  <c:v>1.06</c:v>
                </c:pt>
                <c:pt idx="4">
                  <c:v>1.0609999999999999</c:v>
                </c:pt>
                <c:pt idx="5">
                  <c:v>1.0640000000000001</c:v>
                </c:pt>
                <c:pt idx="6">
                  <c:v>1.0669999999999999</c:v>
                </c:pt>
                <c:pt idx="7">
                  <c:v>1.0740000000000001</c:v>
                </c:pt>
                <c:pt idx="8">
                  <c:v>1.0880000000000001</c:v>
                </c:pt>
                <c:pt idx="9">
                  <c:v>1.131</c:v>
                </c:pt>
                <c:pt idx="10">
                  <c:v>1.2989999999999999</c:v>
                </c:pt>
                <c:pt idx="11">
                  <c:v>1.7769999999999999</c:v>
                </c:pt>
                <c:pt idx="12">
                  <c:v>3.3839999999999999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Sheet2!$O$26</c:f>
              <c:strCache>
                <c:ptCount val="1"/>
                <c:pt idx="0">
                  <c:v>m=12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Sheet2!$O$27:$O$39</c:f>
              <c:numCache>
                <c:formatCode>General</c:formatCode>
                <c:ptCount val="13"/>
                <c:pt idx="1">
                  <c:v>1.0469999999999999</c:v>
                </c:pt>
                <c:pt idx="2">
                  <c:v>1.048</c:v>
                </c:pt>
                <c:pt idx="3">
                  <c:v>1.048</c:v>
                </c:pt>
                <c:pt idx="4">
                  <c:v>1.0489999999999999</c:v>
                </c:pt>
                <c:pt idx="5">
                  <c:v>1.0509999999999999</c:v>
                </c:pt>
                <c:pt idx="6">
                  <c:v>1.0529999999999999</c:v>
                </c:pt>
                <c:pt idx="7">
                  <c:v>1.0569999999999999</c:v>
                </c:pt>
                <c:pt idx="8">
                  <c:v>1.0660000000000001</c:v>
                </c:pt>
                <c:pt idx="9">
                  <c:v>1.091</c:v>
                </c:pt>
                <c:pt idx="10">
                  <c:v>1.212</c:v>
                </c:pt>
                <c:pt idx="11">
                  <c:v>1.6259999999999999</c:v>
                </c:pt>
                <c:pt idx="12">
                  <c:v>3.069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Sheet2!$P$26</c:f>
              <c:strCache>
                <c:ptCount val="1"/>
                <c:pt idx="0">
                  <c:v>m=14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Sheet2!$P$27:$P$39</c:f>
              <c:numCache>
                <c:formatCode>General</c:formatCode>
                <c:ptCount val="13"/>
                <c:pt idx="1">
                  <c:v>1.04</c:v>
                </c:pt>
                <c:pt idx="2">
                  <c:v>1.04</c:v>
                </c:pt>
                <c:pt idx="3">
                  <c:v>1.04</c:v>
                </c:pt>
                <c:pt idx="4">
                  <c:v>1.0409999999999999</c:v>
                </c:pt>
                <c:pt idx="5">
                  <c:v>1.042</c:v>
                </c:pt>
                <c:pt idx="6">
                  <c:v>1.044</c:v>
                </c:pt>
                <c:pt idx="7">
                  <c:v>1.0469999999999999</c:v>
                </c:pt>
                <c:pt idx="8">
                  <c:v>1.052</c:v>
                </c:pt>
                <c:pt idx="9">
                  <c:v>1.0680000000000001</c:v>
                </c:pt>
                <c:pt idx="10">
                  <c:v>1.1519999999999999</c:v>
                </c:pt>
                <c:pt idx="11">
                  <c:v>1.5129999999999999</c:v>
                </c:pt>
                <c:pt idx="12">
                  <c:v>2.8279999999999998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Sheet2!$Q$26</c:f>
              <c:strCache>
                <c:ptCount val="1"/>
                <c:pt idx="0">
                  <c:v>m=16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Sheet2!$Q$27:$Q$39</c:f>
              <c:numCache>
                <c:formatCode>General</c:formatCode>
                <c:ptCount val="13"/>
                <c:pt idx="1">
                  <c:v>1.034</c:v>
                </c:pt>
                <c:pt idx="2">
                  <c:v>1.0349999999999999</c:v>
                </c:pt>
                <c:pt idx="3">
                  <c:v>1.0349999999999999</c:v>
                </c:pt>
                <c:pt idx="4">
                  <c:v>1.0349999999999999</c:v>
                </c:pt>
                <c:pt idx="5">
                  <c:v>1.036</c:v>
                </c:pt>
                <c:pt idx="6">
                  <c:v>1.0369999999999999</c:v>
                </c:pt>
                <c:pt idx="7">
                  <c:v>1.0389999999999999</c:v>
                </c:pt>
                <c:pt idx="8">
                  <c:v>1.0429999999999999</c:v>
                </c:pt>
                <c:pt idx="9">
                  <c:v>1.054</c:v>
                </c:pt>
                <c:pt idx="10">
                  <c:v>1.1100000000000001</c:v>
                </c:pt>
                <c:pt idx="11">
                  <c:v>1.4259999999999999</c:v>
                </c:pt>
                <c:pt idx="12">
                  <c:v>2.5110000000000001</c:v>
                </c:pt>
              </c:numCache>
            </c:numRef>
          </c:yVal>
          <c:smooth val="1"/>
        </c:ser>
        <c:axId val="158925952"/>
        <c:axId val="158927488"/>
      </c:scatterChart>
      <c:valAx>
        <c:axId val="158925952"/>
        <c:scaling>
          <c:orientation val="minMax"/>
          <c:max val="0.95000000000000062"/>
          <c:min val="0.15000000000000024"/>
        </c:scaling>
        <c:axPos val="b"/>
        <c:majorGridlines>
          <c:spPr>
            <a:ln>
              <a:prstDash val="sysDash"/>
            </a:ln>
          </c:spPr>
        </c:majorGridlines>
        <c:minorGridlines>
          <c:spPr>
            <a:ln>
              <a:prstDash val="sysDot"/>
            </a:ln>
          </c:spPr>
        </c:minorGridlines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8927488"/>
        <c:crosses val="autoZero"/>
        <c:crossBetween val="midCat"/>
        <c:majorUnit val="0.1"/>
      </c:valAx>
      <c:valAx>
        <c:axId val="158927488"/>
        <c:scaling>
          <c:orientation val="minMax"/>
          <c:max val="1.5"/>
          <c:min val="1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8925952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3190774881953313"/>
          <c:y val="5.9672057121892032E-2"/>
          <c:w val="0.22311668668535078"/>
          <c:h val="0.5834053001439321"/>
        </c:manualLayout>
      </c:layout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 sz="1600"/>
              <a:t>Peak Gain of LLC Resonant</a:t>
            </a:r>
            <a:r>
              <a:rPr lang="en-US" sz="1600" baseline="0"/>
              <a:t> Converter 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0.11789498783934631"/>
          <c:y val="6.2327210205453114E-2"/>
          <c:w val="0.83316913645126867"/>
          <c:h val="0.85341088404104848"/>
        </c:manualLayout>
      </c:layout>
      <c:scatterChart>
        <c:scatterStyle val="smoothMarker"/>
        <c:ser>
          <c:idx val="2"/>
          <c:order val="0"/>
          <c:tx>
            <c:strRef>
              <c:f>[2]Sheet1!$L$26</c:f>
              <c:strCache>
                <c:ptCount val="1"/>
                <c:pt idx="0">
                  <c:v>m=2.5</c:v>
                </c:pt>
              </c:strCache>
            </c:strRef>
          </c:tx>
          <c:spPr>
            <a:ln>
              <a:prstDash val="sysDash"/>
            </a:ln>
          </c:spP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[2]Sheet1!$L$27:$L$39</c:f>
              <c:numCache>
                <c:formatCode>General</c:formatCode>
                <c:ptCount val="13"/>
                <c:pt idx="1">
                  <c:v>1.373</c:v>
                </c:pt>
                <c:pt idx="2">
                  <c:v>1.391</c:v>
                </c:pt>
                <c:pt idx="3">
                  <c:v>1.415999999999993</c:v>
                </c:pt>
                <c:pt idx="4">
                  <c:v>1.45</c:v>
                </c:pt>
                <c:pt idx="5">
                  <c:v>1.502</c:v>
                </c:pt>
                <c:pt idx="6">
                  <c:v>1.5820000000000001</c:v>
                </c:pt>
                <c:pt idx="7">
                  <c:v>1.7069999999999959</c:v>
                </c:pt>
                <c:pt idx="8">
                  <c:v>1.9119999999999964</c:v>
                </c:pt>
                <c:pt idx="9">
                  <c:v>2.2559999999999998</c:v>
                </c:pt>
                <c:pt idx="10">
                  <c:v>2.8759999999999977</c:v>
                </c:pt>
                <c:pt idx="11">
                  <c:v>4.1829999999999945</c:v>
                </c:pt>
                <c:pt idx="12">
                  <c:v>8.2150000000000016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[2]Sheet1!$M$26</c:f>
              <c:strCache>
                <c:ptCount val="1"/>
                <c:pt idx="0">
                  <c:v>m=3</c:v>
                </c:pt>
              </c:strCache>
            </c:strRef>
          </c:tx>
          <c:spPr>
            <a:ln>
              <a:solidFill>
                <a:srgbClr val="9BBB59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[2]Sheet1!$M$27:$M$39</c:f>
              <c:numCache>
                <c:formatCode>General</c:formatCode>
                <c:ptCount val="13"/>
                <c:pt idx="1">
                  <c:v>1.2789999999999964</c:v>
                </c:pt>
                <c:pt idx="2">
                  <c:v>1.2909999999999964</c:v>
                </c:pt>
                <c:pt idx="3">
                  <c:v>1.3080000000000001</c:v>
                </c:pt>
                <c:pt idx="4">
                  <c:v>1.331</c:v>
                </c:pt>
                <c:pt idx="5">
                  <c:v>1.3680000000000001</c:v>
                </c:pt>
                <c:pt idx="6">
                  <c:v>1.4259999999999933</c:v>
                </c:pt>
                <c:pt idx="7">
                  <c:v>1.5229999999999964</c:v>
                </c:pt>
                <c:pt idx="8">
                  <c:v>1.6879999999999966</c:v>
                </c:pt>
                <c:pt idx="9">
                  <c:v>1.9760000000000035</c:v>
                </c:pt>
                <c:pt idx="10">
                  <c:v>2.5070000000000001</c:v>
                </c:pt>
                <c:pt idx="11">
                  <c:v>3.629</c:v>
                </c:pt>
                <c:pt idx="12">
                  <c:v>7.0659999999999945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[2]Sheet1!$N$26</c:f>
              <c:strCache>
                <c:ptCount val="1"/>
                <c:pt idx="0">
                  <c:v>m=3.5</c:v>
                </c:pt>
              </c:strCache>
            </c:strRef>
          </c:tx>
          <c:spPr>
            <a:ln>
              <a:solidFill>
                <a:srgbClr val="F79646">
                  <a:lumMod val="50000"/>
                </a:srgbClr>
              </a:solidFill>
              <a:prstDash val="sysDash"/>
            </a:ln>
          </c:spP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[2]Sheet1!$N$27:$N$39</c:f>
              <c:numCache>
                <c:formatCode>General</c:formatCode>
                <c:ptCount val="13"/>
                <c:pt idx="1">
                  <c:v>1.2209999999999961</c:v>
                </c:pt>
                <c:pt idx="2">
                  <c:v>1.23</c:v>
                </c:pt>
                <c:pt idx="3">
                  <c:v>1.2409999999999963</c:v>
                </c:pt>
                <c:pt idx="4">
                  <c:v>1.2589999999999963</c:v>
                </c:pt>
                <c:pt idx="5">
                  <c:v>1.2849999999999964</c:v>
                </c:pt>
                <c:pt idx="6">
                  <c:v>1.3280000000000001</c:v>
                </c:pt>
                <c:pt idx="7">
                  <c:v>1.4039999999999926</c:v>
                </c:pt>
                <c:pt idx="8">
                  <c:v>1.54</c:v>
                </c:pt>
                <c:pt idx="9">
                  <c:v>1.788</c:v>
                </c:pt>
                <c:pt idx="10">
                  <c:v>2.2559999999999998</c:v>
                </c:pt>
                <c:pt idx="11">
                  <c:v>3.2549999999999999</c:v>
                </c:pt>
                <c:pt idx="12">
                  <c:v>6.3579999999999854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[2]Sheet1!$O$26</c:f>
              <c:strCache>
                <c:ptCount val="1"/>
                <c:pt idx="0">
                  <c:v>m=4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[2]Sheet1!$O$27:$O$39</c:f>
              <c:numCache>
                <c:formatCode>General</c:formatCode>
                <c:ptCount val="13"/>
                <c:pt idx="1">
                  <c:v>1.1830000000000001</c:v>
                </c:pt>
                <c:pt idx="2">
                  <c:v>1.1890000000000001</c:v>
                </c:pt>
                <c:pt idx="3">
                  <c:v>1.1980000000000033</c:v>
                </c:pt>
                <c:pt idx="4">
                  <c:v>1.2109999999999959</c:v>
                </c:pt>
                <c:pt idx="5">
                  <c:v>1.23</c:v>
                </c:pt>
                <c:pt idx="6">
                  <c:v>1.2629999999999963</c:v>
                </c:pt>
                <c:pt idx="7">
                  <c:v>1.3220000000000001</c:v>
                </c:pt>
                <c:pt idx="8">
                  <c:v>1.4349999999999954</c:v>
                </c:pt>
                <c:pt idx="9">
                  <c:v>1.6519999999999964</c:v>
                </c:pt>
                <c:pt idx="10">
                  <c:v>2.0709999999999997</c:v>
                </c:pt>
                <c:pt idx="11">
                  <c:v>2.9769999999999968</c:v>
                </c:pt>
                <c:pt idx="12">
                  <c:v>5.806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[2]Sheet1!$P$26</c:f>
              <c:strCache>
                <c:ptCount val="1"/>
                <c:pt idx="0">
                  <c:v>m=4.5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[2]Sheet1!$P$27:$P$39</c:f>
              <c:numCache>
                <c:formatCode>General</c:formatCode>
                <c:ptCount val="13"/>
                <c:pt idx="1">
                  <c:v>1.1559999999999964</c:v>
                </c:pt>
                <c:pt idx="2">
                  <c:v>1.1599999999999964</c:v>
                </c:pt>
                <c:pt idx="3">
                  <c:v>1.167</c:v>
                </c:pt>
                <c:pt idx="4">
                  <c:v>1.177</c:v>
                </c:pt>
                <c:pt idx="5">
                  <c:v>1.1919999999999966</c:v>
                </c:pt>
                <c:pt idx="6">
                  <c:v>1.2169999999999961</c:v>
                </c:pt>
                <c:pt idx="7">
                  <c:v>1.2629999999999963</c:v>
                </c:pt>
                <c:pt idx="8">
                  <c:v>1.3580000000000001</c:v>
                </c:pt>
                <c:pt idx="9">
                  <c:v>1.548</c:v>
                </c:pt>
                <c:pt idx="10">
                  <c:v>1.9300000000000033</c:v>
                </c:pt>
                <c:pt idx="11">
                  <c:v>2.766</c:v>
                </c:pt>
                <c:pt idx="12">
                  <c:v>5.3890000000000002</c:v>
                </c:pt>
              </c:numCache>
            </c:numRef>
          </c:yVal>
          <c:smooth val="1"/>
        </c:ser>
        <c:ser>
          <c:idx val="7"/>
          <c:order val="5"/>
          <c:tx>
            <c:strRef>
              <c:f>[2]Sheet1!$Q$26</c:f>
              <c:strCache>
                <c:ptCount val="1"/>
                <c:pt idx="0">
                  <c:v>m=5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[2]Sheet1!$Q$27:$Q$39</c:f>
              <c:numCache>
                <c:formatCode>General</c:formatCode>
                <c:ptCount val="13"/>
                <c:pt idx="1">
                  <c:v>1.135</c:v>
                </c:pt>
                <c:pt idx="2">
                  <c:v>1.139</c:v>
                </c:pt>
                <c:pt idx="3">
                  <c:v>1.1439999999999964</c:v>
                </c:pt>
                <c:pt idx="4">
                  <c:v>1.1519999999999964</c:v>
                </c:pt>
                <c:pt idx="5">
                  <c:v>1.163</c:v>
                </c:pt>
                <c:pt idx="6">
                  <c:v>1.1830000000000001</c:v>
                </c:pt>
                <c:pt idx="7">
                  <c:v>1.22</c:v>
                </c:pt>
                <c:pt idx="8">
                  <c:v>1.298</c:v>
                </c:pt>
                <c:pt idx="9">
                  <c:v>1.4669999999999961</c:v>
                </c:pt>
                <c:pt idx="10">
                  <c:v>1.8160000000000001</c:v>
                </c:pt>
                <c:pt idx="11">
                  <c:v>2.5939999999999999</c:v>
                </c:pt>
                <c:pt idx="12">
                  <c:v>5.0449999999999955</c:v>
                </c:pt>
              </c:numCache>
            </c:numRef>
          </c:yVal>
          <c:smooth val="1"/>
        </c:ser>
        <c:ser>
          <c:idx val="8"/>
          <c:order val="6"/>
          <c:tx>
            <c:strRef>
              <c:f>[2]Sheet1!$R$26</c:f>
              <c:strCache>
                <c:ptCount val="1"/>
                <c:pt idx="0">
                  <c:v>m=6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[2]Sheet1!$R$27:$R$39</c:f>
              <c:numCache>
                <c:formatCode>General</c:formatCode>
                <c:ptCount val="13"/>
                <c:pt idx="1">
                  <c:v>1.107</c:v>
                </c:pt>
                <c:pt idx="2">
                  <c:v>1.1100000000000001</c:v>
                </c:pt>
                <c:pt idx="3">
                  <c:v>1.1180000000000001</c:v>
                </c:pt>
                <c:pt idx="4">
                  <c:v>1.1180000000000001</c:v>
                </c:pt>
                <c:pt idx="5">
                  <c:v>1.125</c:v>
                </c:pt>
                <c:pt idx="6">
                  <c:v>1.1379999999999963</c:v>
                </c:pt>
                <c:pt idx="7">
                  <c:v>1.1619999999999964</c:v>
                </c:pt>
                <c:pt idx="8">
                  <c:v>1.216</c:v>
                </c:pt>
                <c:pt idx="9">
                  <c:v>1.3480000000000001</c:v>
                </c:pt>
                <c:pt idx="10">
                  <c:v>1.6459999999999964</c:v>
                </c:pt>
                <c:pt idx="11">
                  <c:v>2.3319999999999967</c:v>
                </c:pt>
                <c:pt idx="12">
                  <c:v>4.508</c:v>
                </c:pt>
              </c:numCache>
            </c:numRef>
          </c:yVal>
          <c:smooth val="1"/>
        </c:ser>
        <c:ser>
          <c:idx val="9"/>
          <c:order val="7"/>
          <c:tx>
            <c:strRef>
              <c:f>[2]Sheet1!$S$26</c:f>
              <c:strCache>
                <c:ptCount val="1"/>
                <c:pt idx="0">
                  <c:v>m=7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[2]Sheet1!$S$27:$S$39</c:f>
              <c:numCache>
                <c:formatCode>General</c:formatCode>
                <c:ptCount val="13"/>
                <c:pt idx="1">
                  <c:v>1.0880000000000001</c:v>
                </c:pt>
                <c:pt idx="2">
                  <c:v>1.0900000000000001</c:v>
                </c:pt>
                <c:pt idx="3">
                  <c:v>1.093</c:v>
                </c:pt>
                <c:pt idx="4">
                  <c:v>1.0960000000000001</c:v>
                </c:pt>
                <c:pt idx="5">
                  <c:v>1.101</c:v>
                </c:pt>
                <c:pt idx="6">
                  <c:v>1.1100000000000001</c:v>
                </c:pt>
                <c:pt idx="7">
                  <c:v>1.1259999999999963</c:v>
                </c:pt>
                <c:pt idx="8">
                  <c:v>1.163</c:v>
                </c:pt>
                <c:pt idx="9">
                  <c:v>1.2649999999999963</c:v>
                </c:pt>
                <c:pt idx="10">
                  <c:v>1.5229999999999964</c:v>
                </c:pt>
                <c:pt idx="11">
                  <c:v>2.14</c:v>
                </c:pt>
                <c:pt idx="12">
                  <c:v>4.1289999999999853</c:v>
                </c:pt>
              </c:numCache>
            </c:numRef>
          </c:yVal>
          <c:smooth val="1"/>
        </c:ser>
        <c:ser>
          <c:idx val="10"/>
          <c:order val="8"/>
          <c:tx>
            <c:strRef>
              <c:f>[2]Sheet1!$T$26</c:f>
              <c:strCache>
                <c:ptCount val="1"/>
                <c:pt idx="0">
                  <c:v>m=8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[2]Sheet1!$T$27:$T$39</c:f>
              <c:numCache>
                <c:formatCode>General</c:formatCode>
                <c:ptCount val="13"/>
                <c:pt idx="1">
                  <c:v>1.075</c:v>
                </c:pt>
                <c:pt idx="2">
                  <c:v>1.077</c:v>
                </c:pt>
                <c:pt idx="3">
                  <c:v>1.0780000000000001</c:v>
                </c:pt>
                <c:pt idx="4">
                  <c:v>1.081</c:v>
                </c:pt>
                <c:pt idx="5">
                  <c:v>1.085</c:v>
                </c:pt>
                <c:pt idx="6">
                  <c:v>1.091</c:v>
                </c:pt>
                <c:pt idx="7">
                  <c:v>1.1020000000000001</c:v>
                </c:pt>
                <c:pt idx="8">
                  <c:v>1.1279999999999963</c:v>
                </c:pt>
                <c:pt idx="9">
                  <c:v>1.206</c:v>
                </c:pt>
                <c:pt idx="10">
                  <c:v>1.43</c:v>
                </c:pt>
                <c:pt idx="11">
                  <c:v>1.9930000000000001</c:v>
                </c:pt>
                <c:pt idx="12">
                  <c:v>3.8279999999999998</c:v>
                </c:pt>
              </c:numCache>
            </c:numRef>
          </c:yVal>
          <c:smooth val="1"/>
        </c:ser>
        <c:ser>
          <c:idx val="11"/>
          <c:order val="9"/>
          <c:tx>
            <c:strRef>
              <c:f>[2]Sheet1!$U$26</c:f>
              <c:strCache>
                <c:ptCount val="1"/>
                <c:pt idx="0">
                  <c:v>m=9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[2]Sheet1!$U$27:$U$39</c:f>
              <c:numCache>
                <c:formatCode>General</c:formatCode>
                <c:ptCount val="13"/>
                <c:pt idx="1">
                  <c:v>1.0649999999999966</c:v>
                </c:pt>
                <c:pt idx="2">
                  <c:v>1.0660000000000001</c:v>
                </c:pt>
                <c:pt idx="3">
                  <c:v>1.0680000000000001</c:v>
                </c:pt>
                <c:pt idx="4">
                  <c:v>1.07</c:v>
                </c:pt>
                <c:pt idx="5">
                  <c:v>1.073</c:v>
                </c:pt>
                <c:pt idx="6">
                  <c:v>1.077</c:v>
                </c:pt>
                <c:pt idx="7">
                  <c:v>1.0860000000000001</c:v>
                </c:pt>
                <c:pt idx="8">
                  <c:v>1.1040000000000001</c:v>
                </c:pt>
                <c:pt idx="9">
                  <c:v>1.163</c:v>
                </c:pt>
                <c:pt idx="10">
                  <c:v>1.357</c:v>
                </c:pt>
                <c:pt idx="11">
                  <c:v>1.8740000000000001</c:v>
                </c:pt>
                <c:pt idx="12">
                  <c:v>3.5830000000000002</c:v>
                </c:pt>
              </c:numCache>
            </c:numRef>
          </c:yVal>
          <c:smooth val="1"/>
        </c:ser>
        <c:ser>
          <c:idx val="12"/>
          <c:order val="10"/>
          <c:tx>
            <c:strRef>
              <c:f>[2]Sheet1!$V$26</c:f>
              <c:strCache>
                <c:ptCount val="1"/>
                <c:pt idx="0">
                  <c:v>m=10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[2]Sheet1!$V$27:$V$39</c:f>
              <c:numCache>
                <c:formatCode>General</c:formatCode>
                <c:ptCount val="13"/>
                <c:pt idx="1">
                  <c:v>1.0580000000000001</c:v>
                </c:pt>
                <c:pt idx="2">
                  <c:v>1.0589999999999966</c:v>
                </c:pt>
                <c:pt idx="3">
                  <c:v>1.06</c:v>
                </c:pt>
                <c:pt idx="4">
                  <c:v>1.0609999999999966</c:v>
                </c:pt>
                <c:pt idx="5">
                  <c:v>1.0640000000000001</c:v>
                </c:pt>
                <c:pt idx="6">
                  <c:v>1.0669999999999966</c:v>
                </c:pt>
                <c:pt idx="7">
                  <c:v>1.0740000000000001</c:v>
                </c:pt>
                <c:pt idx="8">
                  <c:v>1.0880000000000001</c:v>
                </c:pt>
                <c:pt idx="9">
                  <c:v>1.131</c:v>
                </c:pt>
                <c:pt idx="10">
                  <c:v>1.2989999999999966</c:v>
                </c:pt>
                <c:pt idx="11">
                  <c:v>1.7769999999999964</c:v>
                </c:pt>
                <c:pt idx="12">
                  <c:v>3.3839999999999999</c:v>
                </c:pt>
              </c:numCache>
            </c:numRef>
          </c:yVal>
          <c:smooth val="1"/>
        </c:ser>
        <c:ser>
          <c:idx val="14"/>
          <c:order val="11"/>
          <c:tx>
            <c:strRef>
              <c:f>[2]Sheet1!$X$26</c:f>
              <c:strCache>
                <c:ptCount val="1"/>
                <c:pt idx="0">
                  <c:v>m=12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[2]Sheet1!$I$27:$I$39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0.70000000000000062</c:v>
                </c:pt>
                <c:pt idx="7">
                  <c:v>0.60000000000000064</c:v>
                </c:pt>
                <c:pt idx="8">
                  <c:v>0.5</c:v>
                </c:pt>
                <c:pt idx="9">
                  <c:v>0.4</c:v>
                </c:pt>
                <c:pt idx="10">
                  <c:v>0.30000000000000032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[2]Sheet1!$X$27:$X$39</c:f>
              <c:numCache>
                <c:formatCode>General</c:formatCode>
                <c:ptCount val="13"/>
                <c:pt idx="1">
                  <c:v>1.0469999999999966</c:v>
                </c:pt>
                <c:pt idx="2">
                  <c:v>1.048</c:v>
                </c:pt>
                <c:pt idx="3">
                  <c:v>1.048</c:v>
                </c:pt>
                <c:pt idx="4">
                  <c:v>1.0489999999999966</c:v>
                </c:pt>
                <c:pt idx="5">
                  <c:v>1.0509999999999966</c:v>
                </c:pt>
                <c:pt idx="6">
                  <c:v>1.0529999999999966</c:v>
                </c:pt>
                <c:pt idx="7">
                  <c:v>1.0569999999999966</c:v>
                </c:pt>
                <c:pt idx="8">
                  <c:v>1.0660000000000001</c:v>
                </c:pt>
                <c:pt idx="9">
                  <c:v>1.091</c:v>
                </c:pt>
                <c:pt idx="10">
                  <c:v>1.212</c:v>
                </c:pt>
                <c:pt idx="11">
                  <c:v>1.6259999999999963</c:v>
                </c:pt>
                <c:pt idx="12">
                  <c:v>3.069</c:v>
                </c:pt>
              </c:numCache>
            </c:numRef>
          </c:yVal>
          <c:smooth val="1"/>
        </c:ser>
        <c:axId val="159039872"/>
        <c:axId val="159042176"/>
      </c:scatterChart>
      <c:valAx>
        <c:axId val="159039872"/>
        <c:scaling>
          <c:orientation val="minMax"/>
          <c:max val="0.95000000000000062"/>
          <c:min val="0.15000000000000024"/>
        </c:scaling>
        <c:axPos val="b"/>
        <c:majorGridlines>
          <c:spPr>
            <a:ln>
              <a:prstDash val="sysDash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Q</a:t>
                </a:r>
              </a:p>
            </c:rich>
          </c:tx>
        </c:title>
        <c:numFmt formatCode="General" sourceLinked="1"/>
        <c:majorTickMark val="none"/>
        <c:tickLblPos val="nextTo"/>
        <c:spPr>
          <a:ln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59042176"/>
        <c:crosses val="autoZero"/>
        <c:crossBetween val="midCat"/>
        <c:minorUnit val="0.05"/>
      </c:valAx>
      <c:valAx>
        <c:axId val="159042176"/>
        <c:scaling>
          <c:orientation val="minMax"/>
          <c:max val="2.2000000000000002"/>
          <c:min val="1.1000000000000001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100"/>
                </a:pPr>
                <a:r>
                  <a:rPr lang="en-US" sz="1400"/>
                  <a:t>Peak Gain (M)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 sz="1050"/>
            </a:pPr>
            <a:endParaRPr lang="en-US"/>
          </a:p>
        </c:txPr>
        <c:crossAx val="159039872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72228004489837283"/>
          <c:y val="6.6152429841623894E-2"/>
          <c:w val="0.20542127845205041"/>
          <c:h val="0.42808936712596846"/>
        </c:manualLayout>
      </c:layout>
      <c:txPr>
        <a:bodyPr/>
        <a:lstStyle/>
        <a:p>
          <a:pPr>
            <a:defRPr lang="en-US" sz="1400"/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7632697469599227E-2"/>
          <c:y val="2.2284628834225419E-2"/>
          <c:w val="0.91549295774647887"/>
          <c:h val="0.92743247892749558"/>
        </c:manualLayout>
      </c:layout>
      <c:scatterChart>
        <c:scatterStyle val="smoothMarker"/>
        <c:ser>
          <c:idx val="0"/>
          <c:order val="0"/>
          <c:tx>
            <c:strRef>
              <c:f>Sheet2!$B$26</c:f>
              <c:strCache>
                <c:ptCount val="1"/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Sheet2!$B$27:$B$39</c:f>
              <c:numCache>
                <c:formatCode>General</c:formatCode>
                <c:ptCount val="13"/>
              </c:numCache>
            </c:numRef>
          </c:yVal>
          <c:smooth val="1"/>
        </c:ser>
        <c:ser>
          <c:idx val="1"/>
          <c:order val="1"/>
          <c:tx>
            <c:strRef>
              <c:f>Sheet2!$C$26</c:f>
              <c:strCache>
                <c:ptCount val="1"/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Sheet2!$C$27:$C$39</c:f>
              <c:numCache>
                <c:formatCode>General</c:formatCode>
                <c:ptCount val="13"/>
              </c:numCache>
            </c:numRef>
          </c:yVal>
          <c:smooth val="1"/>
        </c:ser>
        <c:ser>
          <c:idx val="2"/>
          <c:order val="2"/>
          <c:tx>
            <c:strRef>
              <c:f>Sheet2!$D$26</c:f>
              <c:strCache>
                <c:ptCount val="1"/>
                <c:pt idx="0">
                  <c:v>m=2.5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Sheet2!$D$27:$D$39</c:f>
              <c:numCache>
                <c:formatCode>General</c:formatCode>
                <c:ptCount val="13"/>
                <c:pt idx="1">
                  <c:v>1.373</c:v>
                </c:pt>
                <c:pt idx="2">
                  <c:v>1.391</c:v>
                </c:pt>
                <c:pt idx="3">
                  <c:v>1.4159999999999999</c:v>
                </c:pt>
                <c:pt idx="4">
                  <c:v>1.45</c:v>
                </c:pt>
                <c:pt idx="5">
                  <c:v>1.502</c:v>
                </c:pt>
                <c:pt idx="6">
                  <c:v>1.5820000000000001</c:v>
                </c:pt>
                <c:pt idx="7">
                  <c:v>1.7070000000000001</c:v>
                </c:pt>
                <c:pt idx="8">
                  <c:v>1.9119999999999999</c:v>
                </c:pt>
                <c:pt idx="9">
                  <c:v>2.2559999999999998</c:v>
                </c:pt>
                <c:pt idx="10">
                  <c:v>2.8759999999999999</c:v>
                </c:pt>
                <c:pt idx="11">
                  <c:v>4.1829999999999998</c:v>
                </c:pt>
                <c:pt idx="12">
                  <c:v>8.2149999999999999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Sheet2!$E$26</c:f>
              <c:strCache>
                <c:ptCount val="1"/>
                <c:pt idx="0">
                  <c:v>m=3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Sheet2!$E$27:$E$39</c:f>
              <c:numCache>
                <c:formatCode>General</c:formatCode>
                <c:ptCount val="13"/>
                <c:pt idx="1">
                  <c:v>1.2789999999999999</c:v>
                </c:pt>
                <c:pt idx="2">
                  <c:v>1.2909999999999999</c:v>
                </c:pt>
                <c:pt idx="3">
                  <c:v>1.3080000000000001</c:v>
                </c:pt>
                <c:pt idx="4">
                  <c:v>1.331</c:v>
                </c:pt>
                <c:pt idx="5">
                  <c:v>1.3680000000000001</c:v>
                </c:pt>
                <c:pt idx="6">
                  <c:v>1.4259999999999999</c:v>
                </c:pt>
                <c:pt idx="7">
                  <c:v>1.5229999999999999</c:v>
                </c:pt>
                <c:pt idx="8">
                  <c:v>1.6879999999999999</c:v>
                </c:pt>
                <c:pt idx="9">
                  <c:v>1.976</c:v>
                </c:pt>
                <c:pt idx="10">
                  <c:v>2.5070000000000001</c:v>
                </c:pt>
                <c:pt idx="11">
                  <c:v>3.629</c:v>
                </c:pt>
                <c:pt idx="12">
                  <c:v>7.0659999999999998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Sheet2!$F$26</c:f>
              <c:strCache>
                <c:ptCount val="1"/>
                <c:pt idx="0">
                  <c:v>m=3.5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Sheet2!$F$27:$F$39</c:f>
              <c:numCache>
                <c:formatCode>General</c:formatCode>
                <c:ptCount val="13"/>
                <c:pt idx="1">
                  <c:v>1.2210000000000001</c:v>
                </c:pt>
                <c:pt idx="2">
                  <c:v>1.23</c:v>
                </c:pt>
                <c:pt idx="3">
                  <c:v>1.2410000000000001</c:v>
                </c:pt>
                <c:pt idx="4">
                  <c:v>1.2589999999999999</c:v>
                </c:pt>
                <c:pt idx="5">
                  <c:v>1.2849999999999999</c:v>
                </c:pt>
                <c:pt idx="6">
                  <c:v>1.3280000000000001</c:v>
                </c:pt>
                <c:pt idx="7">
                  <c:v>1.4039999999999999</c:v>
                </c:pt>
                <c:pt idx="8">
                  <c:v>1.54</c:v>
                </c:pt>
                <c:pt idx="9">
                  <c:v>1.788</c:v>
                </c:pt>
                <c:pt idx="10">
                  <c:v>2.2559999999999998</c:v>
                </c:pt>
                <c:pt idx="11">
                  <c:v>3.2549999999999999</c:v>
                </c:pt>
                <c:pt idx="12">
                  <c:v>6.3579999999999997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Sheet2!$G$26</c:f>
              <c:strCache>
                <c:ptCount val="1"/>
                <c:pt idx="0">
                  <c:v>m=4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Sheet2!$G$27:$G$39</c:f>
              <c:numCache>
                <c:formatCode>General</c:formatCode>
                <c:ptCount val="13"/>
                <c:pt idx="1">
                  <c:v>1.1830000000000001</c:v>
                </c:pt>
                <c:pt idx="2">
                  <c:v>1.1890000000000001</c:v>
                </c:pt>
                <c:pt idx="3">
                  <c:v>1.198</c:v>
                </c:pt>
                <c:pt idx="4">
                  <c:v>1.2110000000000001</c:v>
                </c:pt>
                <c:pt idx="5">
                  <c:v>1.23</c:v>
                </c:pt>
                <c:pt idx="6">
                  <c:v>1.2629999999999999</c:v>
                </c:pt>
                <c:pt idx="7">
                  <c:v>1.3220000000000001</c:v>
                </c:pt>
                <c:pt idx="8">
                  <c:v>1.4350000000000001</c:v>
                </c:pt>
                <c:pt idx="9">
                  <c:v>1.6519999999999999</c:v>
                </c:pt>
                <c:pt idx="10">
                  <c:v>2.0710000000000002</c:v>
                </c:pt>
                <c:pt idx="11">
                  <c:v>2.9769999999999999</c:v>
                </c:pt>
                <c:pt idx="12">
                  <c:v>5.806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Sheet2!$H$26</c:f>
              <c:strCache>
                <c:ptCount val="1"/>
                <c:pt idx="0">
                  <c:v>m=4.5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Sheet2!$H$27:$H$39</c:f>
              <c:numCache>
                <c:formatCode>General</c:formatCode>
                <c:ptCount val="13"/>
                <c:pt idx="1">
                  <c:v>1.1559999999999999</c:v>
                </c:pt>
                <c:pt idx="2">
                  <c:v>1.1599999999999999</c:v>
                </c:pt>
                <c:pt idx="3">
                  <c:v>1.167</c:v>
                </c:pt>
                <c:pt idx="4">
                  <c:v>1.177</c:v>
                </c:pt>
                <c:pt idx="5">
                  <c:v>1.1919999999999999</c:v>
                </c:pt>
                <c:pt idx="6">
                  <c:v>1.2170000000000001</c:v>
                </c:pt>
                <c:pt idx="7">
                  <c:v>1.2629999999999999</c:v>
                </c:pt>
                <c:pt idx="8">
                  <c:v>1.3580000000000001</c:v>
                </c:pt>
                <c:pt idx="9">
                  <c:v>1.548</c:v>
                </c:pt>
                <c:pt idx="10">
                  <c:v>1.93</c:v>
                </c:pt>
                <c:pt idx="11">
                  <c:v>2.766</c:v>
                </c:pt>
                <c:pt idx="12">
                  <c:v>5.3890000000000002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Sheet2!$I$26</c:f>
              <c:strCache>
                <c:ptCount val="1"/>
                <c:pt idx="0">
                  <c:v>m=5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Sheet2!$I$27:$I$39</c:f>
              <c:numCache>
                <c:formatCode>General</c:formatCode>
                <c:ptCount val="13"/>
                <c:pt idx="1">
                  <c:v>1.135</c:v>
                </c:pt>
                <c:pt idx="2">
                  <c:v>1.139</c:v>
                </c:pt>
                <c:pt idx="3">
                  <c:v>1.1439999999999999</c:v>
                </c:pt>
                <c:pt idx="4">
                  <c:v>1.1519999999999999</c:v>
                </c:pt>
                <c:pt idx="5">
                  <c:v>1.163</c:v>
                </c:pt>
                <c:pt idx="6">
                  <c:v>1.1830000000000001</c:v>
                </c:pt>
                <c:pt idx="7">
                  <c:v>1.22</c:v>
                </c:pt>
                <c:pt idx="8">
                  <c:v>1.298</c:v>
                </c:pt>
                <c:pt idx="9">
                  <c:v>1.4670000000000001</c:v>
                </c:pt>
                <c:pt idx="10">
                  <c:v>1.8160000000000001</c:v>
                </c:pt>
                <c:pt idx="11">
                  <c:v>2.5939999999999999</c:v>
                </c:pt>
                <c:pt idx="12">
                  <c:v>5.0449999999999999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Sheet2!$J$26</c:f>
              <c:strCache>
                <c:ptCount val="1"/>
                <c:pt idx="0">
                  <c:v>m=6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Sheet2!$J$27:$J$39</c:f>
              <c:numCache>
                <c:formatCode>General</c:formatCode>
                <c:ptCount val="13"/>
                <c:pt idx="1">
                  <c:v>1.107</c:v>
                </c:pt>
                <c:pt idx="2">
                  <c:v>1.1100000000000001</c:v>
                </c:pt>
                <c:pt idx="3">
                  <c:v>1.1180000000000001</c:v>
                </c:pt>
                <c:pt idx="4">
                  <c:v>1.1180000000000001</c:v>
                </c:pt>
                <c:pt idx="5">
                  <c:v>1.125</c:v>
                </c:pt>
                <c:pt idx="6">
                  <c:v>1.1379999999999999</c:v>
                </c:pt>
                <c:pt idx="7">
                  <c:v>1.1619999999999999</c:v>
                </c:pt>
                <c:pt idx="8">
                  <c:v>1.216</c:v>
                </c:pt>
                <c:pt idx="9">
                  <c:v>1.3480000000000001</c:v>
                </c:pt>
                <c:pt idx="10">
                  <c:v>1.6459999999999999</c:v>
                </c:pt>
                <c:pt idx="11">
                  <c:v>2.3319999999999999</c:v>
                </c:pt>
                <c:pt idx="12">
                  <c:v>4.508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Sheet2!$K$26</c:f>
              <c:strCache>
                <c:ptCount val="1"/>
                <c:pt idx="0">
                  <c:v>m=7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Sheet2!$K$27:$K$39</c:f>
              <c:numCache>
                <c:formatCode>General</c:formatCode>
                <c:ptCount val="13"/>
                <c:pt idx="1">
                  <c:v>1.0880000000000001</c:v>
                </c:pt>
                <c:pt idx="2">
                  <c:v>1.0900000000000001</c:v>
                </c:pt>
                <c:pt idx="3">
                  <c:v>1.093</c:v>
                </c:pt>
                <c:pt idx="4">
                  <c:v>1.0960000000000001</c:v>
                </c:pt>
                <c:pt idx="5">
                  <c:v>1.101</c:v>
                </c:pt>
                <c:pt idx="6">
                  <c:v>1.1100000000000001</c:v>
                </c:pt>
                <c:pt idx="7">
                  <c:v>1.1259999999999999</c:v>
                </c:pt>
                <c:pt idx="8">
                  <c:v>1.163</c:v>
                </c:pt>
                <c:pt idx="9">
                  <c:v>1.2649999999999999</c:v>
                </c:pt>
                <c:pt idx="10">
                  <c:v>1.5229999999999999</c:v>
                </c:pt>
                <c:pt idx="11">
                  <c:v>2.14</c:v>
                </c:pt>
                <c:pt idx="12">
                  <c:v>4.1289999999999996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Sheet2!$L$26</c:f>
              <c:strCache>
                <c:ptCount val="1"/>
                <c:pt idx="0">
                  <c:v>m=8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Sheet2!$L$27:$L$39</c:f>
              <c:numCache>
                <c:formatCode>General</c:formatCode>
                <c:ptCount val="13"/>
                <c:pt idx="1">
                  <c:v>1.075</c:v>
                </c:pt>
                <c:pt idx="2">
                  <c:v>1.077</c:v>
                </c:pt>
                <c:pt idx="3">
                  <c:v>1.0780000000000001</c:v>
                </c:pt>
                <c:pt idx="4">
                  <c:v>1.081</c:v>
                </c:pt>
                <c:pt idx="5">
                  <c:v>1.085</c:v>
                </c:pt>
                <c:pt idx="6">
                  <c:v>1.091</c:v>
                </c:pt>
                <c:pt idx="7">
                  <c:v>1.1020000000000001</c:v>
                </c:pt>
                <c:pt idx="8">
                  <c:v>1.1279999999999999</c:v>
                </c:pt>
                <c:pt idx="9">
                  <c:v>1.206</c:v>
                </c:pt>
                <c:pt idx="10">
                  <c:v>1.43</c:v>
                </c:pt>
                <c:pt idx="11">
                  <c:v>1.9930000000000001</c:v>
                </c:pt>
                <c:pt idx="12">
                  <c:v>3.8279999999999998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Sheet2!$M$26</c:f>
              <c:strCache>
                <c:ptCount val="1"/>
                <c:pt idx="0">
                  <c:v>m=9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Sheet2!$M$27:$M$39</c:f>
              <c:numCache>
                <c:formatCode>General</c:formatCode>
                <c:ptCount val="13"/>
                <c:pt idx="1">
                  <c:v>1.0649999999999999</c:v>
                </c:pt>
                <c:pt idx="2">
                  <c:v>1.0660000000000001</c:v>
                </c:pt>
                <c:pt idx="3">
                  <c:v>1.0680000000000001</c:v>
                </c:pt>
                <c:pt idx="4">
                  <c:v>1.07</c:v>
                </c:pt>
                <c:pt idx="5">
                  <c:v>1.073</c:v>
                </c:pt>
                <c:pt idx="6">
                  <c:v>1.077</c:v>
                </c:pt>
                <c:pt idx="7">
                  <c:v>1.0860000000000001</c:v>
                </c:pt>
                <c:pt idx="8">
                  <c:v>1.1040000000000001</c:v>
                </c:pt>
                <c:pt idx="9">
                  <c:v>1.163</c:v>
                </c:pt>
                <c:pt idx="10">
                  <c:v>1.357</c:v>
                </c:pt>
                <c:pt idx="11">
                  <c:v>1.8740000000000001</c:v>
                </c:pt>
                <c:pt idx="12">
                  <c:v>3.5830000000000002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Sheet2!$N$26</c:f>
              <c:strCache>
                <c:ptCount val="1"/>
                <c:pt idx="0">
                  <c:v>m=10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Sheet2!$N$27:$N$39</c:f>
              <c:numCache>
                <c:formatCode>General</c:formatCode>
                <c:ptCount val="13"/>
                <c:pt idx="1">
                  <c:v>1.0580000000000001</c:v>
                </c:pt>
                <c:pt idx="2">
                  <c:v>1.0589999999999999</c:v>
                </c:pt>
                <c:pt idx="3">
                  <c:v>1.06</c:v>
                </c:pt>
                <c:pt idx="4">
                  <c:v>1.0609999999999999</c:v>
                </c:pt>
                <c:pt idx="5">
                  <c:v>1.0640000000000001</c:v>
                </c:pt>
                <c:pt idx="6">
                  <c:v>1.0669999999999999</c:v>
                </c:pt>
                <c:pt idx="7">
                  <c:v>1.0740000000000001</c:v>
                </c:pt>
                <c:pt idx="8">
                  <c:v>1.0880000000000001</c:v>
                </c:pt>
                <c:pt idx="9">
                  <c:v>1.131</c:v>
                </c:pt>
                <c:pt idx="10">
                  <c:v>1.2989999999999999</c:v>
                </c:pt>
                <c:pt idx="11">
                  <c:v>1.7769999999999999</c:v>
                </c:pt>
                <c:pt idx="12">
                  <c:v>3.3839999999999999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Sheet2!$O$26</c:f>
              <c:strCache>
                <c:ptCount val="1"/>
                <c:pt idx="0">
                  <c:v>m=12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Sheet2!$O$27:$O$39</c:f>
              <c:numCache>
                <c:formatCode>General</c:formatCode>
                <c:ptCount val="13"/>
                <c:pt idx="1">
                  <c:v>1.0469999999999999</c:v>
                </c:pt>
                <c:pt idx="2">
                  <c:v>1.048</c:v>
                </c:pt>
                <c:pt idx="3">
                  <c:v>1.048</c:v>
                </c:pt>
                <c:pt idx="4">
                  <c:v>1.0489999999999999</c:v>
                </c:pt>
                <c:pt idx="5">
                  <c:v>1.0509999999999999</c:v>
                </c:pt>
                <c:pt idx="6">
                  <c:v>1.0529999999999999</c:v>
                </c:pt>
                <c:pt idx="7">
                  <c:v>1.0569999999999999</c:v>
                </c:pt>
                <c:pt idx="8">
                  <c:v>1.0660000000000001</c:v>
                </c:pt>
                <c:pt idx="9">
                  <c:v>1.091</c:v>
                </c:pt>
                <c:pt idx="10">
                  <c:v>1.212</c:v>
                </c:pt>
                <c:pt idx="11">
                  <c:v>1.6259999999999999</c:v>
                </c:pt>
                <c:pt idx="12">
                  <c:v>3.069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Sheet2!$P$26</c:f>
              <c:strCache>
                <c:ptCount val="1"/>
                <c:pt idx="0">
                  <c:v>m=14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Sheet2!$P$27:$P$39</c:f>
              <c:numCache>
                <c:formatCode>General</c:formatCode>
                <c:ptCount val="13"/>
                <c:pt idx="1">
                  <c:v>1.04</c:v>
                </c:pt>
                <c:pt idx="2">
                  <c:v>1.04</c:v>
                </c:pt>
                <c:pt idx="3">
                  <c:v>1.04</c:v>
                </c:pt>
                <c:pt idx="4">
                  <c:v>1.0409999999999999</c:v>
                </c:pt>
                <c:pt idx="5">
                  <c:v>1.042</c:v>
                </c:pt>
                <c:pt idx="6">
                  <c:v>1.044</c:v>
                </c:pt>
                <c:pt idx="7">
                  <c:v>1.0469999999999999</c:v>
                </c:pt>
                <c:pt idx="8">
                  <c:v>1.052</c:v>
                </c:pt>
                <c:pt idx="9">
                  <c:v>1.0680000000000001</c:v>
                </c:pt>
                <c:pt idx="10">
                  <c:v>1.1519999999999999</c:v>
                </c:pt>
                <c:pt idx="11">
                  <c:v>1.5129999999999999</c:v>
                </c:pt>
                <c:pt idx="12">
                  <c:v>2.8279999999999998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Sheet2!$Q$26</c:f>
              <c:strCache>
                <c:ptCount val="1"/>
                <c:pt idx="0">
                  <c:v>m=16</c:v>
                </c:pt>
              </c:strCache>
            </c:strRef>
          </c:tx>
          <c:xVal>
            <c:numRef>
              <c:f>Sheet2!$A$27:$A$39</c:f>
              <c:numCache>
                <c:formatCode>General</c:formatCode>
                <c:ptCount val="13"/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</c:numCache>
            </c:numRef>
          </c:xVal>
          <c:yVal>
            <c:numRef>
              <c:f>Sheet2!$Q$27:$Q$39</c:f>
              <c:numCache>
                <c:formatCode>General</c:formatCode>
                <c:ptCount val="13"/>
                <c:pt idx="1">
                  <c:v>1.034</c:v>
                </c:pt>
                <c:pt idx="2">
                  <c:v>1.0349999999999999</c:v>
                </c:pt>
                <c:pt idx="3">
                  <c:v>1.0349999999999999</c:v>
                </c:pt>
                <c:pt idx="4">
                  <c:v>1.0349999999999999</c:v>
                </c:pt>
                <c:pt idx="5">
                  <c:v>1.036</c:v>
                </c:pt>
                <c:pt idx="6">
                  <c:v>1.0369999999999999</c:v>
                </c:pt>
                <c:pt idx="7">
                  <c:v>1.0389999999999999</c:v>
                </c:pt>
                <c:pt idx="8">
                  <c:v>1.0429999999999999</c:v>
                </c:pt>
                <c:pt idx="9">
                  <c:v>1.054</c:v>
                </c:pt>
                <c:pt idx="10">
                  <c:v>1.1100000000000001</c:v>
                </c:pt>
                <c:pt idx="11">
                  <c:v>1.4259999999999999</c:v>
                </c:pt>
                <c:pt idx="12">
                  <c:v>2.5110000000000001</c:v>
                </c:pt>
              </c:numCache>
            </c:numRef>
          </c:yVal>
          <c:smooth val="1"/>
        </c:ser>
        <c:axId val="158837376"/>
        <c:axId val="158855552"/>
      </c:scatterChart>
      <c:valAx>
        <c:axId val="158837376"/>
        <c:scaling>
          <c:orientation val="minMax"/>
          <c:max val="1"/>
          <c:min val="0.1"/>
        </c:scaling>
        <c:axPos val="b"/>
        <c:majorGridlines>
          <c:spPr>
            <a:ln>
              <a:prstDash val="sys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8855552"/>
        <c:crosses val="autoZero"/>
        <c:crossBetween val="midCat"/>
        <c:majorUnit val="0.1"/>
      </c:valAx>
      <c:valAx>
        <c:axId val="158855552"/>
        <c:scaling>
          <c:orientation val="minMax"/>
          <c:max val="2"/>
          <c:min val="1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8837376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65765435238319003"/>
          <c:y val="8.1177484120056501E-2"/>
          <c:w val="0.10043720636546996"/>
          <c:h val="0.50813638189053179"/>
        </c:manualLayout>
      </c:layout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638370203724552"/>
          <c:y val="2.8856451423104276E-2"/>
          <c:w val="0.82827157926013961"/>
          <c:h val="0.90603203839286151"/>
        </c:manualLayout>
      </c:layout>
      <c:scatterChart>
        <c:scatterStyle val="smoothMarker"/>
        <c:ser>
          <c:idx val="0"/>
          <c:order val="0"/>
          <c:tx>
            <c:strRef>
              <c:f>Sheet3!$C$6</c:f>
              <c:strCache>
                <c:ptCount val="1"/>
                <c:pt idx="0">
                  <c:v>100%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Sheet3!$C$7:$C$109</c:f>
              <c:numCache>
                <c:formatCode>0.00</c:formatCode>
                <c:ptCount val="103"/>
                <c:pt idx="0">
                  <c:v>0.68668883144414772</c:v>
                </c:pt>
                <c:pt idx="1">
                  <c:v>0.71710591446214467</c:v>
                </c:pt>
                <c:pt idx="2">
                  <c:v>0.74864121531277805</c:v>
                </c:pt>
                <c:pt idx="3">
                  <c:v>0.78126203042380227</c:v>
                </c:pt>
                <c:pt idx="4">
                  <c:v>0.81491737208149739</c:v>
                </c:pt>
                <c:pt idx="5">
                  <c:v>0.8495351168833053</c:v>
                </c:pt>
                <c:pt idx="6">
                  <c:v>0.88501916582570961</c:v>
                </c:pt>
                <c:pt idx="7">
                  <c:v>0.92124678238340441</c:v>
                </c:pt>
                <c:pt idx="8">
                  <c:v>0.95806632504985723</c:v>
                </c:pt>
                <c:pt idx="9">
                  <c:v>0.99529563916352204</c:v>
                </c:pt>
                <c:pt idx="10">
                  <c:v>1.0327214115064778</c:v>
                </c:pt>
                <c:pt idx="11">
                  <c:v>1.0700998096368457</c:v>
                </c:pt>
                <c:pt idx="12">
                  <c:v>1.1071587140480623</c:v>
                </c:pt>
                <c:pt idx="13">
                  <c:v>1.1436017931900484</c:v>
                </c:pt>
                <c:pt idx="14">
                  <c:v>1.179114560686269</c:v>
                </c:pt>
                <c:pt idx="15">
                  <c:v>1.2133723895212938</c:v>
                </c:pt>
                <c:pt idx="16">
                  <c:v>1.2460502492639762</c:v>
                </c:pt>
                <c:pt idx="17">
                  <c:v>1.2768337022614127</c:v>
                </c:pt>
                <c:pt idx="18">
                  <c:v>1.3054304778810293</c:v>
                </c:pt>
                <c:pt idx="19">
                  <c:v>1.3315817817155058</c:v>
                </c:pt>
                <c:pt idx="20">
                  <c:v>1.3550724282608595</c:v>
                </c:pt>
                <c:pt idx="21">
                  <c:v>1.3757389367763326</c:v>
                </c:pt>
                <c:pt idx="22">
                  <c:v>1.3934749043402495</c:v>
                </c:pt>
                <c:pt idx="23">
                  <c:v>1.4082332449720216</c:v>
                </c:pt>
                <c:pt idx="24">
                  <c:v>1.4200252142729639</c:v>
                </c:pt>
                <c:pt idx="25">
                  <c:v>1.4289164688962654</c:v>
                </c:pt>
                <c:pt idx="26">
                  <c:v>1.4350206852697085</c:v>
                </c:pt>
                <c:pt idx="27">
                  <c:v>1.4384914434954148</c:v>
                </c:pt>
                <c:pt idx="28">
                  <c:v>1.4395131538897554</c:v>
                </c:pt>
                <c:pt idx="29">
                  <c:v>1.4382917717351626</c:v>
                </c:pt>
                <c:pt idx="30">
                  <c:v>1.4350459343125772</c:v>
                </c:pt>
                <c:pt idx="31">
                  <c:v>1.4299989955814045</c:v>
                </c:pt>
                <c:pt idx="32">
                  <c:v>1.4233722603722379</c:v>
                </c:pt>
                <c:pt idx="33">
                  <c:v>1.4153795578100978</c:v>
                </c:pt>
                <c:pt idx="34">
                  <c:v>1.4062231598229</c:v>
                </c:pt>
                <c:pt idx="35">
                  <c:v>1.3960909526493861</c:v>
                </c:pt>
                <c:pt idx="36">
                  <c:v>1.3851547074115493</c:v>
                </c:pt>
                <c:pt idx="37">
                  <c:v>1.3735692653515506</c:v>
                </c:pt>
                <c:pt idx="38">
                  <c:v>1.3614724471727877</c:v>
                </c:pt>
                <c:pt idx="39">
                  <c:v>1.3489855065518153</c:v>
                </c:pt>
                <c:pt idx="40">
                  <c:v>1.3362139685731962</c:v>
                </c:pt>
                <c:pt idx="41">
                  <c:v>1.3232487192351081</c:v>
                </c:pt>
                <c:pt idx="42">
                  <c:v>1.3101672384458485</c:v>
                </c:pt>
                <c:pt idx="43">
                  <c:v>1.2970348936164489</c:v>
                </c:pt>
                <c:pt idx="44">
                  <c:v>1.2839062326863977</c:v>
                </c:pt>
                <c:pt idx="45">
                  <c:v>1.2708262336307001</c:v>
                </c:pt>
                <c:pt idx="46">
                  <c:v>1.2578314821490804</c:v>
                </c:pt>
                <c:pt idx="47">
                  <c:v>1.2449512606079973</c:v>
                </c:pt>
                <c:pt idx="48">
                  <c:v>1.2322085398266145</c:v>
                </c:pt>
                <c:pt idx="49">
                  <c:v>1.2196208714540153</c:v>
                </c:pt>
                <c:pt idx="50">
                  <c:v>1.2072011829493674</c:v>
                </c:pt>
                <c:pt idx="51">
                  <c:v>1.1949584799742285</c:v>
                </c:pt>
                <c:pt idx="52">
                  <c:v>1.1828984626988466</c:v>
                </c:pt>
                <c:pt idx="53">
                  <c:v>1.1710240634085214</c:v>
                </c:pt>
                <c:pt idx="54">
                  <c:v>1.1593359131071972</c:v>
                </c:pt>
                <c:pt idx="55">
                  <c:v>1.1478327447349346</c:v>
                </c:pt>
                <c:pt idx="56">
                  <c:v>1.1365117402806835</c:v>
                </c:pt>
                <c:pt idx="57">
                  <c:v>1.1253688285824552</c:v>
                </c:pt>
                <c:pt idx="58">
                  <c:v>1.1143989400358094</c:v>
                </c:pt>
                <c:pt idx="59">
                  <c:v>1.1035962238289796</c:v>
                </c:pt>
                <c:pt idx="60">
                  <c:v>1.0929542327229544</c:v>
                </c:pt>
                <c:pt idx="61">
                  <c:v>1.0824660798192753</c:v>
                </c:pt>
                <c:pt idx="62">
                  <c:v>1.0721245712205043</c:v>
                </c:pt>
                <c:pt idx="63">
                  <c:v>1.0619223179951178</c:v>
                </c:pt>
                <c:pt idx="64">
                  <c:v>1.0518518304128863</c:v>
                </c:pt>
                <c:pt idx="65">
                  <c:v>1.041905597018413</c:v>
                </c:pt>
                <c:pt idx="66">
                  <c:v>1.032076150757623</c:v>
                </c:pt>
                <c:pt idx="67">
                  <c:v>1.0223561240615946</c:v>
                </c:pt>
                <c:pt idx="68">
                  <c:v>1.0127382945207009</c:v>
                </c:pt>
                <c:pt idx="69">
                  <c:v>1.0032156225458428</c:v>
                </c:pt>
                <c:pt idx="70">
                  <c:v>0.99378128220883388</c:v>
                </c:pt>
                <c:pt idx="71">
                  <c:v>0.98442868627718438</c:v>
                </c:pt>
                <c:pt idx="72">
                  <c:v>0.97515150630627567</c:v>
                </c:pt>
                <c:pt idx="73">
                  <c:v>0.96594368852115642</c:v>
                </c:pt>
                <c:pt idx="74">
                  <c:v>0.95679946610818467</c:v>
                </c:pt>
                <c:pt idx="75">
                  <c:v>0.94771336844096965</c:v>
                </c:pt>
                <c:pt idx="76">
                  <c:v>0.9386802276834727</c:v>
                </c:pt>
                <c:pt idx="77">
                  <c:v>0.92969518314363475</c:v>
                </c:pt>
                <c:pt idx="78">
                  <c:v>0.92075368369199206</c:v>
                </c:pt>
                <c:pt idx="79">
                  <c:v>0.91185148850986275</c:v>
                </c:pt>
                <c:pt idx="80">
                  <c:v>0.90298466638960884</c:v>
                </c:pt>
                <c:pt idx="81">
                  <c:v>0.89414959377410508</c:v>
                </c:pt>
                <c:pt idx="82">
                  <c:v>0.88534295169291954</c:v>
                </c:pt>
                <c:pt idx="83">
                  <c:v>0.87656172172802738</c:v>
                </c:pt>
                <c:pt idx="84">
                  <c:v>0.86780318112139054</c:v>
                </c:pt>
                <c:pt idx="85">
                  <c:v>0.85906489711990719</c:v>
                </c:pt>
                <c:pt idx="86">
                  <c:v>0.85034472063940503</c:v>
                </c:pt>
                <c:pt idx="87">
                  <c:v>0.84164077931822734</c:v>
                </c:pt>
                <c:pt idx="88">
                  <c:v>0.83295147002198344</c:v>
                </c:pt>
                <c:pt idx="89">
                  <c:v>0.82427545085394816</c:v>
                </c:pt>
                <c:pt idx="90">
                  <c:v>0.81561163272008574</c:v>
                </c:pt>
                <c:pt idx="91">
                  <c:v>0.80695917049344623</c:v>
                </c:pt>
                <c:pt idx="92">
                  <c:v>0.79831745381951713</c:v>
                </c:pt>
                <c:pt idx="93">
                  <c:v>0.78968609760184472</c:v>
                </c:pt>
                <c:pt idx="94">
                  <c:v>0.78106493220562145</c:v>
                </c:pt>
                <c:pt idx="95">
                  <c:v>0.77245399341588261</c:v>
                </c:pt>
                <c:pt idx="96">
                  <c:v>0.76385351218628783</c:v>
                </c:pt>
                <c:pt idx="97">
                  <c:v>0.75526390421408396</c:v>
                </c:pt>
                <c:pt idx="98">
                  <c:v>0.7466857593766506</c:v>
                </c:pt>
                <c:pt idx="99">
                  <c:v>0.73811983106492884</c:v>
                </c:pt>
                <c:pt idx="100">
                  <c:v>0.72956702544895957</c:v>
                </c:pt>
                <c:pt idx="101">
                  <c:v>0.72102839071065283</c:v>
                </c:pt>
                <c:pt idx="102">
                  <c:v>0.71250510627870378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Sheet3!$D$6</c:f>
              <c:strCache>
                <c:ptCount val="1"/>
                <c:pt idx="0">
                  <c:v>80%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Sheet3!$D$7:$D$109</c:f>
              <c:numCache>
                <c:formatCode>0.00</c:formatCode>
                <c:ptCount val="103"/>
                <c:pt idx="0">
                  <c:v>0.79237640998766956</c:v>
                </c:pt>
                <c:pt idx="1">
                  <c:v>0.83303340629170974</c:v>
                </c:pt>
                <c:pt idx="2">
                  <c:v>0.87565647222165277</c:v>
                </c:pt>
                <c:pt idx="3">
                  <c:v>0.92022285138416382</c:v>
                </c:pt>
                <c:pt idx="4">
                  <c:v>0.96666965344700484</c:v>
                </c:pt>
                <c:pt idx="5">
                  <c:v>1.0148841044522003</c:v>
                </c:pt>
                <c:pt idx="6">
                  <c:v>1.0646930537096435</c:v>
                </c:pt>
                <c:pt idx="7">
                  <c:v>1.115852342390999</c:v>
                </c:pt>
                <c:pt idx="8">
                  <c:v>1.1680369828005719</c:v>
                </c:pt>
                <c:pt idx="9">
                  <c:v>1.220833484605985</c:v>
                </c:pt>
                <c:pt idx="10">
                  <c:v>1.2737360334189261</c:v>
                </c:pt>
                <c:pt idx="11">
                  <c:v>1.3261484741023308</c:v>
                </c:pt>
                <c:pt idx="12">
                  <c:v>1.3773940341530626</c:v>
                </c:pt>
                <c:pt idx="13">
                  <c:v>1.4267342879269296</c:v>
                </c:pt>
                <c:pt idx="14">
                  <c:v>1.4733978996817354</c:v>
                </c:pt>
                <c:pt idx="15">
                  <c:v>1.5166182006237012</c:v>
                </c:pt>
                <c:pt idx="16">
                  <c:v>1.5556768488963246</c:v>
                </c:pt>
                <c:pt idx="17">
                  <c:v>1.589949092895895</c:v>
                </c:pt>
                <c:pt idx="18">
                  <c:v>1.6189450327404673</c:v>
                </c:pt>
                <c:pt idx="19">
                  <c:v>1.6423412213067345</c:v>
                </c:pt>
                <c:pt idx="20">
                  <c:v>1.6599981619238511</c:v>
                </c:pt>
                <c:pt idx="21">
                  <c:v>1.6719615318987007</c:v>
                </c:pt>
                <c:pt idx="22">
                  <c:v>1.6784477049786841</c:v>
                </c:pt>
                <c:pt idx="23">
                  <c:v>1.679816621164292</c:v>
                </c:pt>
                <c:pt idx="24">
                  <c:v>1.6765366501632097</c:v>
                </c:pt>
                <c:pt idx="25">
                  <c:v>1.6691465476802287</c:v>
                </c:pt>
                <c:pt idx="26">
                  <c:v>1.6582190233664649</c:v>
                </c:pt>
                <c:pt idx="27">
                  <c:v>1.6443291964725302</c:v>
                </c:pt>
                <c:pt idx="28">
                  <c:v>1.628029753367273</c:v>
                </c:pt>
                <c:pt idx="29">
                  <c:v>1.6098333004256442</c:v>
                </c:pt>
                <c:pt idx="30">
                  <c:v>1.5902014303517467</c:v>
                </c:pt>
                <c:pt idx="31">
                  <c:v>1.5695394420304851</c:v>
                </c:pt>
                <c:pt idx="32">
                  <c:v>1.5481954222645051</c:v>
                </c:pt>
                <c:pt idx="33">
                  <c:v>1.5264624139258769</c:v>
                </c:pt>
                <c:pt idx="34">
                  <c:v>1.5045825567144488</c:v>
                </c:pt>
                <c:pt idx="35">
                  <c:v>1.4827523108747009</c:v>
                </c:pt>
                <c:pt idx="36">
                  <c:v>1.4611281046993694</c:v>
                </c:pt>
                <c:pt idx="37">
                  <c:v>1.4398319517730844</c:v>
                </c:pt>
                <c:pt idx="38">
                  <c:v>1.4189567502405671</c:v>
                </c:pt>
                <c:pt idx="39">
                  <c:v>1.3985711020328215</c:v>
                </c:pt>
                <c:pt idx="40">
                  <c:v>1.3787235792346617</c:v>
                </c:pt>
                <c:pt idx="41">
                  <c:v>1.3594464244061033</c:v>
                </c:pt>
                <c:pt idx="42">
                  <c:v>1.340758708770893</c:v>
                </c:pt>
                <c:pt idx="43">
                  <c:v>1.3226689930662163</c:v>
                </c:pt>
                <c:pt idx="44">
                  <c:v>1.3051775456214931</c:v>
                </c:pt>
                <c:pt idx="45">
                  <c:v>1.2882781747891456</c:v>
                </c:pt>
                <c:pt idx="46">
                  <c:v>1.2719597309995403</c:v>
                </c:pt>
                <c:pt idx="47">
                  <c:v>1.2562073294060117</c:v>
                </c:pt>
                <c:pt idx="48">
                  <c:v>1.2410033386204042</c:v>
                </c:pt>
                <c:pt idx="49">
                  <c:v>1.2263281752382618</c:v>
                </c:pt>
                <c:pt idx="50">
                  <c:v>1.21216093820924</c:v>
                </c:pt>
                <c:pt idx="51">
                  <c:v>1.1984799118940048</c:v>
                </c:pt>
                <c:pt idx="52">
                  <c:v>1.185262961991169</c:v>
                </c:pt>
                <c:pt idx="53">
                  <c:v>1.1724878444540341</c:v>
                </c:pt>
                <c:pt idx="54">
                  <c:v>1.1601324440316172</c:v>
                </c:pt>
                <c:pt idx="55">
                  <c:v>1.1481749561171906</c:v>
                </c:pt>
                <c:pt idx="56">
                  <c:v>1.1365940231129525</c:v>
                </c:pt>
                <c:pt idx="57">
                  <c:v>1.1253688344600581</c:v>
                </c:pt>
                <c:pt idx="58">
                  <c:v>1.1144791977795809</c:v>
                </c:pt>
                <c:pt idx="59">
                  <c:v>1.1039055871672021</c:v>
                </c:pt>
                <c:pt idx="60">
                  <c:v>1.0936291735337071</c:v>
                </c:pt>
                <c:pt idx="61">
                  <c:v>1.0836318409422199</c:v>
                </c:pt>
                <c:pt idx="62">
                  <c:v>1.0738961921253039</c:v>
                </c:pt>
                <c:pt idx="63">
                  <c:v>1.0644055457398629</c:v>
                </c:pt>
                <c:pt idx="64">
                  <c:v>1.0551439274095979</c:v>
                </c:pt>
                <c:pt idx="65">
                  <c:v>1.0460960561922876</c:v>
                </c:pt>
                <c:pt idx="66">
                  <c:v>1.0372473277747727</c:v>
                </c:pt>
                <c:pt idx="67">
                  <c:v>1.0285837954277683</c:v>
                </c:pt>
                <c:pt idx="68">
                  <c:v>1.0200921495336177</c:v>
                </c:pt>
                <c:pt idx="69">
                  <c:v>1.0117596963231776</c:v>
                </c:pt>
                <c:pt idx="70">
                  <c:v>1.0035743363152372</c:v>
                </c:pt>
                <c:pt idx="71">
                  <c:v>0.99552454283678271</c:v>
                </c:pt>
                <c:pt idx="72">
                  <c:v>0.9875993409098075</c:v>
                </c:pt>
                <c:pt idx="73">
                  <c:v>0.97978828671593021</c:v>
                </c:pt>
                <c:pt idx="74">
                  <c:v>0.97208144779041494</c:v>
                </c:pt>
                <c:pt idx="75">
                  <c:v>0.96446938404939364</c:v>
                </c:pt>
                <c:pt idx="76">
                  <c:v>0.95694312971603246</c:v>
                </c:pt>
                <c:pt idx="77">
                  <c:v>0.94949417618103438</c:v>
                </c:pt>
                <c:pt idx="78">
                  <c:v>0.94211445580892783</c:v>
                </c:pt>
                <c:pt idx="79">
                  <c:v>0.93479632668268975</c:v>
                </c:pt>
                <c:pt idx="80">
                  <c:v>0.92753255826451542</c:v>
                </c:pt>
                <c:pt idx="81">
                  <c:v>0.92031631793913782</c:v>
                </c:pt>
                <c:pt idx="82">
                  <c:v>0.91314115839739995</c:v>
                </c:pt>
                <c:pt idx="83">
                  <c:v>0.90600100581128695</c:v>
                </c:pt>
                <c:pt idx="84">
                  <c:v>0.89889014874689155</c:v>
                </c:pt>
                <c:pt idx="85">
                  <c:v>0.89180322775854515</c:v>
                </c:pt>
                <c:pt idx="86">
                  <c:v>0.88473522560523898</c:v>
                </c:pt>
                <c:pt idx="87">
                  <c:v>0.87768145802940034</c:v>
                </c:pt>
                <c:pt idx="88">
                  <c:v>0.87063756503778644</c:v>
                </c:pt>
                <c:pt idx="89">
                  <c:v>0.86359950262465723</c:v>
                </c:pt>
                <c:pt idx="90">
                  <c:v>0.8565635348783649</c:v>
                </c:pt>
                <c:pt idx="91">
                  <c:v>0.84952622641394748</c:v>
                </c:pt>
                <c:pt idx="92">
                  <c:v>0.84248443507618009</c:v>
                </c:pt>
                <c:pt idx="93">
                  <c:v>0.83543530485978812</c:v>
                </c:pt>
                <c:pt idx="94">
                  <c:v>0.82837625899606071</c:v>
                </c:pt>
                <c:pt idx="95">
                  <c:v>0.82130499315794125</c:v>
                </c:pt>
                <c:pt idx="96">
                  <c:v>0.8142194687387434</c:v>
                </c:pt>
                <c:pt idx="97">
                  <c:v>0.8071179061629199</c:v>
                </c:pt>
                <c:pt idx="98">
                  <c:v>0.79999877819079213</c:v>
                </c:pt>
                <c:pt idx="99">
                  <c:v>0.79286080318276597</c:v>
                </c:pt>
                <c:pt idx="100">
                  <c:v>0.78570293829232463</c:v>
                </c:pt>
                <c:pt idx="101">
                  <c:v>0.77852437256095031</c:v>
                </c:pt>
                <c:pt idx="102">
                  <c:v>0.77132451989205808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Sheet3!$E$6</c:f>
              <c:strCache>
                <c:ptCount val="1"/>
                <c:pt idx="0">
                  <c:v>60%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Sheet3!$E$7:$E$109</c:f>
              <c:numCache>
                <c:formatCode>0.00</c:formatCode>
                <c:ptCount val="103"/>
                <c:pt idx="0">
                  <c:v>0.91977619721141302</c:v>
                </c:pt>
                <c:pt idx="1">
                  <c:v>0.97619471877816144</c:v>
                </c:pt>
                <c:pt idx="2">
                  <c:v>1.0365197106968245</c:v>
                </c:pt>
                <c:pt idx="3">
                  <c:v>1.1008903607727518</c:v>
                </c:pt>
                <c:pt idx="4">
                  <c:v>1.1693767012916227</c:v>
                </c:pt>
                <c:pt idx="5">
                  <c:v>1.2419461930228137</c:v>
                </c:pt>
                <c:pt idx="6">
                  <c:v>1.3184216070388917</c:v>
                </c:pt>
                <c:pt idx="7">
                  <c:v>1.3984305209416086</c:v>
                </c:pt>
                <c:pt idx="8">
                  <c:v>1.4813488358629774</c:v>
                </c:pt>
                <c:pt idx="9">
                  <c:v>1.5662440693862634</c:v>
                </c:pt>
                <c:pt idx="10">
                  <c:v>1.6518287703187871</c:v>
                </c:pt>
                <c:pt idx="11">
                  <c:v>1.7364395127039813</c:v>
                </c:pt>
                <c:pt idx="12">
                  <c:v>1.8180606793257819</c:v>
                </c:pt>
                <c:pt idx="13">
                  <c:v>1.8944114952006226</c:v>
                </c:pt>
                <c:pt idx="14">
                  <c:v>1.96310600945544</c:v>
                </c:pt>
                <c:pt idx="15">
                  <c:v>2.0218774374920132</c:v>
                </c:pt>
                <c:pt idx="16">
                  <c:v>2.0688340223192956</c:v>
                </c:pt>
                <c:pt idx="17">
                  <c:v>2.1026931336333057</c:v>
                </c:pt>
                <c:pt idx="18">
                  <c:v>2.1229359218951149</c:v>
                </c:pt>
                <c:pt idx="19">
                  <c:v>2.1298429566271637</c:v>
                </c:pt>
                <c:pt idx="20">
                  <c:v>2.124406095549209</c:v>
                </c:pt>
                <c:pt idx="21">
                  <c:v>2.1081473669682071</c:v>
                </c:pt>
                <c:pt idx="22">
                  <c:v>2.0828960656044977</c:v>
                </c:pt>
                <c:pt idx="23">
                  <c:v>2.0505747082491417</c:v>
                </c:pt>
                <c:pt idx="24">
                  <c:v>2.0130285261393852</c:v>
                </c:pt>
                <c:pt idx="25">
                  <c:v>1.9719125013005327</c:v>
                </c:pt>
                <c:pt idx="26">
                  <c:v>1.9286332610836414</c:v>
                </c:pt>
                <c:pt idx="27">
                  <c:v>1.8843339198137692</c:v>
                </c:pt>
                <c:pt idx="28">
                  <c:v>1.8399074421404427</c:v>
                </c:pt>
                <c:pt idx="29">
                  <c:v>1.7960257394946579</c:v>
                </c:pt>
                <c:pt idx="30">
                  <c:v>1.7531750279512746</c:v>
                </c:pt>
                <c:pt idx="31">
                  <c:v>1.7116913670772897</c:v>
                </c:pt>
                <c:pt idx="32">
                  <c:v>1.6717930243822561</c:v>
                </c:pt>
                <c:pt idx="33">
                  <c:v>1.6336081991930531</c:v>
                </c:pt>
                <c:pt idx="34">
                  <c:v>1.5971978018073345</c:v>
                </c:pt>
                <c:pt idx="35">
                  <c:v>1.5625736133835475</c:v>
                </c:pt>
                <c:pt idx="36">
                  <c:v>1.5297124344013406</c:v>
                </c:pt>
                <c:pt idx="37">
                  <c:v>1.4985669067651215</c:v>
                </c:pt>
                <c:pt idx="38">
                  <c:v>1.4690736631413333</c:v>
                </c:pt>
                <c:pt idx="39">
                  <c:v>1.4411593766893209</c:v>
                </c:pt>
                <c:pt idx="40">
                  <c:v>1.4147451890934553</c:v>
                </c:pt>
                <c:pt idx="41">
                  <c:v>1.3897499024447943</c:v>
                </c:pt>
                <c:pt idx="42">
                  <c:v>1.3660922389914423</c:v>
                </c:pt>
                <c:pt idx="43">
                  <c:v>1.3436924045857943</c:v>
                </c:pt>
                <c:pt idx="44">
                  <c:v>1.3224731365444802</c:v>
                </c:pt>
                <c:pt idx="45">
                  <c:v>1.3023603731140039</c:v>
                </c:pt>
                <c:pt idx="46">
                  <c:v>1.2832836479184722</c:v>
                </c:pt>
                <c:pt idx="47">
                  <c:v>1.2651762867969083</c:v>
                </c:pt>
                <c:pt idx="48">
                  <c:v>1.2479754646670951</c:v>
                </c:pt>
                <c:pt idx="49">
                  <c:v>1.2316221650994041</c:v>
                </c:pt>
                <c:pt idx="50">
                  <c:v>1.2160610740315767</c:v>
                </c:pt>
                <c:pt idx="51">
                  <c:v>1.2012404306229496</c:v>
                </c:pt>
                <c:pt idx="52">
                  <c:v>1.1871118519501251</c:v>
                </c:pt>
                <c:pt idx="53">
                  <c:v>1.1736301435599708</c:v>
                </c:pt>
                <c:pt idx="54">
                  <c:v>1.1607531044200421</c:v>
                </c:pt>
                <c:pt idx="55">
                  <c:v>1.1484413322376787</c:v>
                </c:pt>
                <c:pt idx="56">
                  <c:v>1.1366580332285834</c:v>
                </c:pt>
                <c:pt idx="57">
                  <c:v>1.1253688390315271</c:v>
                </c:pt>
                <c:pt idx="58">
                  <c:v>1.1145416324588844</c:v>
                </c:pt>
                <c:pt idx="59">
                  <c:v>1.1041463830462432</c:v>
                </c:pt>
                <c:pt idx="60">
                  <c:v>1.0941549928459435</c:v>
                </c:pt>
                <c:pt idx="61">
                  <c:v>1.084541152544878</c:v>
                </c:pt>
                <c:pt idx="62">
                  <c:v>1.0752802077358714</c:v>
                </c:pt>
                <c:pt idx="63">
                  <c:v>1.0663490350041651</c:v>
                </c:pt>
                <c:pt idx="64">
                  <c:v>1.0577259273834867</c:v>
                </c:pt>
                <c:pt idx="65">
                  <c:v>1.0493904886731273</c:v>
                </c:pt>
                <c:pt idx="66">
                  <c:v>1.0413235360758872</c:v>
                </c:pt>
                <c:pt idx="67">
                  <c:v>1.0335070106074848</c:v>
                </c:pt>
                <c:pt idx="68">
                  <c:v>1.025923894734182</c:v>
                </c:pt>
                <c:pt idx="69">
                  <c:v>1.0185581367119692</c:v>
                </c:pt>
                <c:pt idx="70">
                  <c:v>1.0113945811239866</c:v>
                </c:pt>
                <c:pt idx="71">
                  <c:v>1.004418905140219</c:v>
                </c:pt>
                <c:pt idx="72">
                  <c:v>0.99761756005302893</c:v>
                </c:pt>
                <c:pt idx="73">
                  <c:v>0.99097771767236043</c:v>
                </c:pt>
                <c:pt idx="74">
                  <c:v>0.98448722119451626</c:v>
                </c:pt>
                <c:pt idx="75">
                  <c:v>0.97813454018761692</c:v>
                </c:pt>
                <c:pt idx="76">
                  <c:v>0.97190872936481276</c:v>
                </c:pt>
                <c:pt idx="77">
                  <c:v>0.96579939084265876</c:v>
                </c:pt>
                <c:pt idx="78">
                  <c:v>0.95979663960678241</c:v>
                </c:pt>
                <c:pt idx="79">
                  <c:v>0.95389107192986866</c:v>
                </c:pt>
                <c:pt idx="80">
                  <c:v>0.94807373650815518</c:v>
                </c:pt>
                <c:pt idx="81">
                  <c:v>0.94233610810203372</c:v>
                </c:pt>
                <c:pt idx="82">
                  <c:v>0.93667006348412607</c:v>
                </c:pt>
                <c:pt idx="83">
                  <c:v>0.93106785951437099</c:v>
                </c:pt>
                <c:pt idx="84">
                  <c:v>0.92552211317632826</c:v>
                </c:pt>
                <c:pt idx="85">
                  <c:v>0.92002578342222852</c:v>
                </c:pt>
                <c:pt idx="86">
                  <c:v>0.91457215468624675</c:v>
                </c:pt>
                <c:pt idx="87">
                  <c:v>0.90915482193632446</c:v>
                </c:pt>
                <c:pt idx="88">
                  <c:v>0.90376767714454731</c:v>
                </c:pt>
                <c:pt idx="89">
                  <c:v>0.89840489706477922</c:v>
                </c:pt>
                <c:pt idx="90">
                  <c:v>0.89306093221405414</c:v>
                </c:pt>
                <c:pt idx="91">
                  <c:v>0.88773049696116324</c:v>
                </c:pt>
                <c:pt idx="92">
                  <c:v>0.88240856063206441</c:v>
                </c:pt>
                <c:pt idx="93">
                  <c:v>0.87709033954728144</c:v>
                </c:pt>
                <c:pt idx="94">
                  <c:v>0.87177128991134545</c:v>
                </c:pt>
                <c:pt idx="95">
                  <c:v>0.86644710147871862</c:v>
                </c:pt>
                <c:pt idx="96">
                  <c:v>0.86111369192452658</c:v>
                </c:pt>
                <c:pt idx="97">
                  <c:v>0.85576720185190358</c:v>
                </c:pt>
                <c:pt idx="98">
                  <c:v>0.85040399037087522</c:v>
                </c:pt>
                <c:pt idx="99">
                  <c:v>0.84502063118649751</c:v>
                </c:pt>
                <c:pt idx="100">
                  <c:v>0.83961390913653822</c:v>
                </c:pt>
                <c:pt idx="101">
                  <c:v>0.83418081712131309</c:v>
                </c:pt>
                <c:pt idx="102">
                  <c:v>0.82871855337046874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Sheet3!$F$6</c:f>
              <c:strCache>
                <c:ptCount val="1"/>
                <c:pt idx="0">
                  <c:v>40%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Sheet3!$F$7:$F$109</c:f>
              <c:numCache>
                <c:formatCode>0.00</c:formatCode>
                <c:ptCount val="103"/>
                <c:pt idx="0">
                  <c:v>1.0607609382546448</c:v>
                </c:pt>
                <c:pt idx="1">
                  <c:v>1.139900879779135</c:v>
                </c:pt>
                <c:pt idx="2">
                  <c:v>1.2271383614132922</c:v>
                </c:pt>
                <c:pt idx="3">
                  <c:v>1.3234036837448586</c:v>
                </c:pt>
                <c:pt idx="4">
                  <c:v>1.4296617380476362</c:v>
                </c:pt>
                <c:pt idx="5">
                  <c:v>1.5468493860664583</c:v>
                </c:pt>
                <c:pt idx="6">
                  <c:v>1.6757638309900837</c:v>
                </c:pt>
                <c:pt idx="7">
                  <c:v>1.8168768306043854</c:v>
                </c:pt>
                <c:pt idx="8">
                  <c:v>1.9700443950005104</c:v>
                </c:pt>
                <c:pt idx="9">
                  <c:v>2.1340853795306831</c:v>
                </c:pt>
                <c:pt idx="10">
                  <c:v>2.3062301031752277</c:v>
                </c:pt>
                <c:pt idx="11">
                  <c:v>2.4815147396084138</c:v>
                </c:pt>
                <c:pt idx="12">
                  <c:v>2.6523361272299399</c:v>
                </c:pt>
                <c:pt idx="13">
                  <c:v>2.8085531215046284</c:v>
                </c:pt>
                <c:pt idx="14">
                  <c:v>2.9385794324139258</c:v>
                </c:pt>
                <c:pt idx="15">
                  <c:v>3.0316164180036247</c:v>
                </c:pt>
                <c:pt idx="16">
                  <c:v>3.0804448144628869</c:v>
                </c:pt>
                <c:pt idx="17">
                  <c:v>3.0834963288747841</c:v>
                </c:pt>
                <c:pt idx="18">
                  <c:v>3.0450622003215964</c:v>
                </c:pt>
                <c:pt idx="19">
                  <c:v>2.9735956216337969</c:v>
                </c:pt>
                <c:pt idx="20">
                  <c:v>2.8791613685992394</c:v>
                </c:pt>
                <c:pt idx="21">
                  <c:v>2.7712494049660887</c:v>
                </c:pt>
                <c:pt idx="22">
                  <c:v>2.6575494941253113</c:v>
                </c:pt>
                <c:pt idx="23">
                  <c:v>2.5436223519105692</c:v>
                </c:pt>
                <c:pt idx="24">
                  <c:v>2.4331133559917562</c:v>
                </c:pt>
                <c:pt idx="25">
                  <c:v>2.3281767175649142</c:v>
                </c:pt>
                <c:pt idx="26">
                  <c:v>2.2299091945346943</c:v>
                </c:pt>
                <c:pt idx="27">
                  <c:v>2.1387079919389165</c:v>
                </c:pt>
                <c:pt idx="28">
                  <c:v>2.0545350316950537</c:v>
                </c:pt>
                <c:pt idx="29">
                  <c:v>1.9770991009091998</c:v>
                </c:pt>
                <c:pt idx="30">
                  <c:v>1.9059754495372343</c:v>
                </c:pt>
                <c:pt idx="31">
                  <c:v>1.8406812623418438</c:v>
                </c:pt>
                <c:pt idx="32">
                  <c:v>1.7807214529078976</c:v>
                </c:pt>
                <c:pt idx="33">
                  <c:v>1.7256151465524965</c:v>
                </c:pt>
                <c:pt idx="34">
                  <c:v>1.6749099221737003</c:v>
                </c:pt>
                <c:pt idx="35">
                  <c:v>1.6281884825763497</c:v>
                </c:pt>
                <c:pt idx="36">
                  <c:v>1.5850707698291384</c:v>
                </c:pt>
                <c:pt idx="37">
                  <c:v>1.5452134411420158</c:v>
                </c:pt>
                <c:pt idx="38">
                  <c:v>1.508307902686689</c:v>
                </c:pt>
                <c:pt idx="39">
                  <c:v>1.4740776372454905</c:v>
                </c:pt>
                <c:pt idx="40">
                  <c:v>1.44227526819801</c:v>
                </c:pt>
                <c:pt idx="41">
                  <c:v>1.4126796177134724</c:v>
                </c:pt>
                <c:pt idx="42">
                  <c:v>1.3850929020368183</c:v>
                </c:pt>
                <c:pt idx="43">
                  <c:v>1.3593381360986525</c:v>
                </c:pt>
                <c:pt idx="44">
                  <c:v>1.3352567770507799</c:v>
                </c:pt>
                <c:pt idx="45">
                  <c:v>1.3127066113122234</c:v>
                </c:pt>
                <c:pt idx="46">
                  <c:v>1.2915598756701823</c:v>
                </c:pt>
                <c:pt idx="47">
                  <c:v>1.2717015957046902</c:v>
                </c:pt>
                <c:pt idx="48">
                  <c:v>1.2530281216312655</c:v>
                </c:pt>
                <c:pt idx="49">
                  <c:v>1.235445840906058</c:v>
                </c:pt>
                <c:pt idx="50">
                  <c:v>1.2188700475649425</c:v>
                </c:pt>
                <c:pt idx="51">
                  <c:v>1.2032239496230002</c:v>
                </c:pt>
                <c:pt idx="52">
                  <c:v>1.1884377975486156</c:v>
                </c:pt>
                <c:pt idx="53">
                  <c:v>1.1744481186113649</c:v>
                </c:pt>
                <c:pt idx="54">
                  <c:v>1.1611970436500683</c:v>
                </c:pt>
                <c:pt idx="55">
                  <c:v>1.1486317144439575</c:v>
                </c:pt>
                <c:pt idx="56">
                  <c:v>1.1367037613615405</c:v>
                </c:pt>
                <c:pt idx="57">
                  <c:v>1.1253688422968622</c:v>
                </c:pt>
                <c:pt idx="58">
                  <c:v>1.1145862350832416</c:v>
                </c:pt>
                <c:pt idx="59">
                  <c:v>1.1043184766092928</c:v>
                </c:pt>
                <c:pt idx="60">
                  <c:v>1.0945310427636672</c:v>
                </c:pt>
                <c:pt idx="61">
                  <c:v>1.0851920641173323</c:v>
                </c:pt>
                <c:pt idx="62">
                  <c:v>1.0762720729292981</c:v>
                </c:pt>
                <c:pt idx="63">
                  <c:v>1.0677437776465322</c:v>
                </c:pt>
                <c:pt idx="64">
                  <c:v>1.059581861573502</c:v>
                </c:pt>
                <c:pt idx="65">
                  <c:v>1.0517628028220727</c:v>
                </c:pt>
                <c:pt idx="66">
                  <c:v>1.0442647130279392</c:v>
                </c:pt>
                <c:pt idx="67">
                  <c:v>1.0370671926437174</c:v>
                </c:pt>
                <c:pt idx="68">
                  <c:v>1.0301512008984743</c:v>
                </c:pt>
                <c:pt idx="69">
                  <c:v>1.0234989387551379</c:v>
                </c:pt>
                <c:pt idx="70">
                  <c:v>1.0170937434062233</c:v>
                </c:pt>
                <c:pt idx="71">
                  <c:v>1.01091999302929</c:v>
                </c:pt>
                <c:pt idx="72">
                  <c:v>1.004963020680437</c:v>
                </c:pt>
                <c:pt idx="73">
                  <c:v>0.99920903634035085</c:v>
                </c:pt>
                <c:pt idx="74">
                  <c:v>0.99364505624583199</c:v>
                </c:pt>
                <c:pt idx="75">
                  <c:v>0.98825883874276865</c:v>
                </c:pt>
                <c:pt idx="76">
                  <c:v>0.98303882598642967</c:v>
                </c:pt>
                <c:pt idx="77">
                  <c:v>0.97797409089335896</c:v>
                </c:pt>
                <c:pt idx="78">
                  <c:v>0.97305428881778344</c:v>
                </c:pt>
                <c:pt idx="79">
                  <c:v>0.96826961348551277</c:v>
                </c:pt>
                <c:pt idx="80">
                  <c:v>0.96361075677098151</c:v>
                </c:pt>
                <c:pt idx="81">
                  <c:v>0.95906887194936574</c:v>
                </c:pt>
                <c:pt idx="82">
                  <c:v>0.95463554009640017</c:v>
                </c:pt>
                <c:pt idx="83">
                  <c:v>0.95030273934436593</c:v>
                </c:pt>
                <c:pt idx="84">
                  <c:v>0.94606281673433135</c:v>
                </c:pt>
                <c:pt idx="85">
                  <c:v>0.94190846243267501</c:v>
                </c:pt>
                <c:pt idx="86">
                  <c:v>0.93783268610456871</c:v>
                </c:pt>
                <c:pt idx="87">
                  <c:v>0.93382879525901386</c:v>
                </c:pt>
                <c:pt idx="88">
                  <c:v>0.92989037539936759</c:v>
                </c:pt>
                <c:pt idx="89">
                  <c:v>0.92601127183049914</c:v>
                </c:pt>
                <c:pt idx="90">
                  <c:v>0.92218557298899695</c:v>
                </c:pt>
                <c:pt idx="91">
                  <c:v>0.91840759517641191</c:v>
                </c:pt>
                <c:pt idx="92">
                  <c:v>0.91467186858758509</c:v>
                </c:pt>
                <c:pt idx="93">
                  <c:v>0.91097312453686874</c:v>
                </c:pt>
                <c:pt idx="94">
                  <c:v>0.90730628379457801</c:v>
                </c:pt>
                <c:pt idx="95">
                  <c:v>0.90366644595453482</c:v>
                </c:pt>
                <c:pt idx="96">
                  <c:v>0.90004887976111581</c:v>
                </c:pt>
                <c:pt idx="97">
                  <c:v>0.89644901433094171</c:v>
                </c:pt>
                <c:pt idx="98">
                  <c:v>0.89286243121031161</c:v>
                </c:pt>
                <c:pt idx="99">
                  <c:v>0.88928485721477091</c:v>
                </c:pt>
                <c:pt idx="100">
                  <c:v>0.88571215800187875</c:v>
                </c:pt>
                <c:pt idx="101">
                  <c:v>0.88214033233236744</c:v>
                </c:pt>
                <c:pt idx="102">
                  <c:v>0.87856550697849767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Sheet3!$G$6</c:f>
              <c:strCache>
                <c:ptCount val="1"/>
                <c:pt idx="0">
                  <c:v>20% load</c:v>
                </c:pt>
              </c:strCache>
            </c:strRef>
          </c:tx>
          <c:marker>
            <c:symbol val="none"/>
          </c:marker>
          <c:xVal>
            <c:numRef>
              <c:f>Sheet3!$A$7:$A$109</c:f>
              <c:numCache>
                <c:formatCode>#,##0.00</c:formatCode>
                <c:ptCount val="103"/>
                <c:pt idx="0">
                  <c:v>37.574833099066041</c:v>
                </c:pt>
                <c:pt idx="1">
                  <c:v>38.273401402279454</c:v>
                </c:pt>
                <c:pt idx="2">
                  <c:v>38.984957059900211</c:v>
                </c:pt>
                <c:pt idx="3">
                  <c:v>39.709741524873898</c:v>
                </c:pt>
                <c:pt idx="4">
                  <c:v>40.448000739091505</c:v>
                </c:pt>
                <c:pt idx="5">
                  <c:v>41.199985216845164</c:v>
                </c:pt>
                <c:pt idx="6">
                  <c:v>41.965950129835413</c:v>
                </c:pt>
                <c:pt idx="7">
                  <c:v>42.746155393758897</c:v>
                </c:pt>
                <c:pt idx="8">
                  <c:v>43.540865756505852</c:v>
                </c:pt>
                <c:pt idx="9">
                  <c:v>44.350350887997259</c:v>
                </c:pt>
                <c:pt idx="10">
                  <c:v>45.174885471692264</c:v>
                </c:pt>
                <c:pt idx="11">
                  <c:v>46.014749297796783</c:v>
                </c:pt>
                <c:pt idx="12">
                  <c:v>46.870227358205021</c:v>
                </c:pt>
                <c:pt idx="13">
                  <c:v>47.741609943206093</c:v>
                </c:pt>
                <c:pt idx="14">
                  <c:v>48.629192739988525</c:v>
                </c:pt>
                <c:pt idx="15">
                  <c:v>49.533276932976094</c:v>
                </c:pt>
                <c:pt idx="16">
                  <c:v>50.454169306029087</c:v>
                </c:pt>
                <c:pt idx="17">
                  <c:v>51.392182346545589</c:v>
                </c:pt>
                <c:pt idx="18">
                  <c:v>52.347634351498151</c:v>
                </c:pt>
                <c:pt idx="19">
                  <c:v>53.320849535441873</c:v>
                </c:pt>
                <c:pt idx="20">
                  <c:v>54.31215814053045</c:v>
                </c:pt>
                <c:pt idx="21">
                  <c:v>55.321896548577612</c:v>
                </c:pt>
                <c:pt idx="22">
                  <c:v>56.350407395201927</c:v>
                </c:pt>
                <c:pt idx="23">
                  <c:v>57.398039686093703</c:v>
                </c:pt>
                <c:pt idx="24">
                  <c:v>58.465148915443471</c:v>
                </c:pt>
                <c:pt idx="25">
                  <c:v>59.552097186572212</c:v>
                </c:pt>
                <c:pt idx="26">
                  <c:v>60.659253334804255</c:v>
                </c:pt>
                <c:pt idx="27">
                  <c:v>61.786993052624581</c:v>
                </c:pt>
                <c:pt idx="28">
                  <c:v>62.935699017162946</c:v>
                </c:pt>
                <c:pt idx="29">
                  <c:v>64.105761020048121</c:v>
                </c:pt>
                <c:pt idx="30">
                  <c:v>65.29757609967632</c:v>
                </c:pt>
                <c:pt idx="31">
                  <c:v>66.511548675938627</c:v>
                </c:pt>
                <c:pt idx="32">
                  <c:v>67.748090687453285</c:v>
                </c:pt>
                <c:pt idx="33">
                  <c:v>69.007621731349232</c:v>
                </c:pt>
                <c:pt idx="34">
                  <c:v>70.290569205648453</c:v>
                </c:pt>
                <c:pt idx="35">
                  <c:v>71.59736845429542</c:v>
                </c:pt>
                <c:pt idx="36">
                  <c:v>72.928462914882815</c:v>
                </c:pt>
                <c:pt idx="37">
                  <c:v>74.284304269123666</c:v>
                </c:pt>
                <c:pt idx="38">
                  <c:v>75.665352596121039</c:v>
                </c:pt>
                <c:pt idx="39">
                  <c:v>77.072076528487102</c:v>
                </c:pt>
                <c:pt idx="40">
                  <c:v>78.504953411364795</c:v>
                </c:pt>
                <c:pt idx="41">
                  <c:v>79.964469464405838</c:v>
                </c:pt>
                <c:pt idx="42">
                  <c:v>81.451119946760187</c:v>
                </c:pt>
                <c:pt idx="43">
                  <c:v>82.965409325132825</c:v>
                </c:pt>
                <c:pt idx="44">
                  <c:v>84.507851444965013</c:v>
                </c:pt>
                <c:pt idx="45">
                  <c:v>86.078969704798013</c:v>
                </c:pt>
                <c:pt idx="46">
                  <c:v>87.679297233878486</c:v>
                </c:pt>
                <c:pt idx="47">
                  <c:v>89.309377073065775</c:v>
                </c:pt>
                <c:pt idx="48">
                  <c:v>90.969762359102589</c:v>
                </c:pt>
                <c:pt idx="49">
                  <c:v>92.661016512311463</c:v>
                </c:pt>
                <c:pt idx="50">
                  <c:v>94.383713427780776</c:v>
                </c:pt>
                <c:pt idx="51">
                  <c:v>96.138437670105205</c:v>
                </c:pt>
                <c:pt idx="52">
                  <c:v>97.925784671746655</c:v>
                </c:pt>
                <c:pt idx="53">
                  <c:v>99.74636093508299</c:v>
                </c:pt>
                <c:pt idx="54">
                  <c:v>101.60078423821312</c:v>
                </c:pt>
                <c:pt idx="55">
                  <c:v>103.48968384458834</c:v>
                </c:pt>
                <c:pt idx="56">
                  <c:v>105.41370071654096</c:v>
                </c:pt>
                <c:pt idx="57">
                  <c:v>107.37348773278271</c:v>
                </c:pt>
                <c:pt idx="58">
                  <c:v>109.36970990994682</c:v>
                </c:pt>
                <c:pt idx="59">
                  <c:v>111.40304462824884</c:v>
                </c:pt>
                <c:pt idx="60">
                  <c:v>113.47418186134271</c:v>
                </c:pt>
                <c:pt idx="61">
                  <c:v>115.58382441045036</c:v>
                </c:pt>
                <c:pt idx="62">
                  <c:v>117.73268814284395</c:v>
                </c:pt>
                <c:pt idx="63">
                  <c:v>119.92150223476189</c:v>
                </c:pt>
                <c:pt idx="64">
                  <c:v>122.15100941884099</c:v>
                </c:pt>
                <c:pt idx="65">
                  <c:v>124.42196623614875</c:v>
                </c:pt>
                <c:pt idx="66">
                  <c:v>126.73514329290121</c:v>
                </c:pt>
                <c:pt idx="67">
                  <c:v>129.09132552195365</c:v>
                </c:pt>
                <c:pt idx="68">
                  <c:v>131.49131244915262</c:v>
                </c:pt>
                <c:pt idx="69">
                  <c:v>133.93591846463994</c:v>
                </c:pt>
                <c:pt idx="70">
                  <c:v>136.4259730992006</c:v>
                </c:pt>
                <c:pt idx="71">
                  <c:v>138.96232130574836</c:v>
                </c:pt>
                <c:pt idx="72">
                  <c:v>141.54582374604439</c:v>
                </c:pt>
                <c:pt idx="73">
                  <c:v>144.17735708274674</c:v>
                </c:pt>
                <c:pt idx="74">
                  <c:v>146.85781427688906</c:v>
                </c:pt>
                <c:pt idx="75">
                  <c:v>149.58810489089012</c:v>
                </c:pt>
                <c:pt idx="76">
                  <c:v>152.36915539719661</c:v>
                </c:pt>
                <c:pt idx="77">
                  <c:v>155.20190949266393</c:v>
                </c:pt>
                <c:pt idx="78">
                  <c:v>158.08732841878196</c:v>
                </c:pt>
                <c:pt idx="79">
                  <c:v>161.02639128785415</c:v>
                </c:pt>
                <c:pt idx="80">
                  <c:v>164.02009541524072</c:v>
                </c:pt>
                <c:pt idx="81">
                  <c:v>167.06945665777874</c:v>
                </c:pt>
                <c:pt idx="82">
                  <c:v>170.17550975849397</c:v>
                </c:pt>
                <c:pt idx="83">
                  <c:v>173.33930869772129</c:v>
                </c:pt>
                <c:pt idx="84">
                  <c:v>176.56192705075298</c:v>
                </c:pt>
                <c:pt idx="85">
                  <c:v>179.8444583521362</c:v>
                </c:pt>
                <c:pt idx="86">
                  <c:v>183.18801646674322</c:v>
                </c:pt>
                <c:pt idx="87">
                  <c:v>186.5937359677404</c:v>
                </c:pt>
                <c:pt idx="88">
                  <c:v>190.06277252158409</c:v>
                </c:pt>
                <c:pt idx="89">
                  <c:v>193.5963032801742</c:v>
                </c:pt>
                <c:pt idx="90">
                  <c:v>197.19552728029842</c:v>
                </c:pt>
                <c:pt idx="91">
                  <c:v>200.86166585050265</c:v>
                </c:pt>
                <c:pt idx="92">
                  <c:v>204.59596302552569</c:v>
                </c:pt>
                <c:pt idx="93">
                  <c:v>208.39968596843897</c:v>
                </c:pt>
                <c:pt idx="94">
                  <c:v>212.27412540063432</c:v>
                </c:pt>
                <c:pt idx="95">
                  <c:v>216.22059603980577</c:v>
                </c:pt>
                <c:pt idx="96">
                  <c:v>220.24043704607425</c:v>
                </c:pt>
                <c:pt idx="97">
                  <c:v>224.33501247640612</c:v>
                </c:pt>
                <c:pt idx="98">
                  <c:v>228.50571174748015</c:v>
                </c:pt>
                <c:pt idx="99">
                  <c:v>232.75395010715971</c:v>
                </c:pt>
                <c:pt idx="100">
                  <c:v>237.08116911473047</c:v>
                </c:pt>
                <c:pt idx="101">
                  <c:v>241.48883713006614</c:v>
                </c:pt>
                <c:pt idx="102">
                  <c:v>245.97844981188862</c:v>
                </c:pt>
              </c:numCache>
            </c:numRef>
          </c:xVal>
          <c:yVal>
            <c:numRef>
              <c:f>Sheet3!$G$7:$G$109</c:f>
              <c:numCache>
                <c:formatCode>0.00</c:formatCode>
                <c:ptCount val="103"/>
                <c:pt idx="0">
                  <c:v>1.1845129673431478</c:v>
                </c:pt>
                <c:pt idx="1">
                  <c:v>1.2891239828853174</c:v>
                </c:pt>
                <c:pt idx="2">
                  <c:v>1.4085282049882917</c:v>
                </c:pt>
                <c:pt idx="3">
                  <c:v>1.5458143062183498</c:v>
                </c:pt>
                <c:pt idx="4">
                  <c:v>1.7049136449618798</c:v>
                </c:pt>
                <c:pt idx="5">
                  <c:v>1.8908622489950606</c:v>
                </c:pt>
                <c:pt idx="6">
                  <c:v>2.1101295122244967</c:v>
                </c:pt>
                <c:pt idx="7">
                  <c:v>2.3709896306792206</c:v>
                </c:pt>
                <c:pt idx="8">
                  <c:v>2.6838219817936992</c:v>
                </c:pt>
                <c:pt idx="9">
                  <c:v>3.0609775864747513</c:v>
                </c:pt>
                <c:pt idx="10">
                  <c:v>3.5152135377083495</c:v>
                </c:pt>
                <c:pt idx="11">
                  <c:v>4.0542728754987163</c:v>
                </c:pt>
                <c:pt idx="12">
                  <c:v>4.6669025880489494</c:v>
                </c:pt>
                <c:pt idx="13">
                  <c:v>5.2960135773906156</c:v>
                </c:pt>
                <c:pt idx="14">
                  <c:v>5.8127761928751971</c:v>
                </c:pt>
                <c:pt idx="15">
                  <c:v>6.0503246885383311</c:v>
                </c:pt>
                <c:pt idx="16">
                  <c:v>5.9308481043192325</c:v>
                </c:pt>
                <c:pt idx="17">
                  <c:v>5.5406884797462652</c:v>
                </c:pt>
                <c:pt idx="18">
                  <c:v>5.0363574485058624</c:v>
                </c:pt>
                <c:pt idx="19">
                  <c:v>4.5323356091546776</c:v>
                </c:pt>
                <c:pt idx="20">
                  <c:v>4.080193495005064</c:v>
                </c:pt>
                <c:pt idx="21">
                  <c:v>3.6927457159766965</c:v>
                </c:pt>
                <c:pt idx="22">
                  <c:v>3.3662516376802127</c:v>
                </c:pt>
                <c:pt idx="23">
                  <c:v>3.0919250332987973</c:v>
                </c:pt>
                <c:pt idx="24">
                  <c:v>2.8606037825579014</c:v>
                </c:pt>
                <c:pt idx="25">
                  <c:v>2.6642783920565085</c:v>
                </c:pt>
                <c:pt idx="26">
                  <c:v>2.4963865431973984</c:v>
                </c:pt>
                <c:pt idx="27">
                  <c:v>2.3516873453102018</c:v>
                </c:pt>
                <c:pt idx="28">
                  <c:v>2.2260298590628103</c:v>
                </c:pt>
                <c:pt idx="29">
                  <c:v>2.1161261623711716</c:v>
                </c:pt>
                <c:pt idx="30">
                  <c:v>2.0193606723169846</c:v>
                </c:pt>
                <c:pt idx="31">
                  <c:v>1.9336392385219741</c:v>
                </c:pt>
                <c:pt idx="32">
                  <c:v>1.8572727117826568</c:v>
                </c:pt>
                <c:pt idx="33">
                  <c:v>1.7888879827166362</c:v>
                </c:pt>
                <c:pt idx="34">
                  <c:v>1.7273601276335104</c:v>
                </c:pt>
                <c:pt idx="35">
                  <c:v>1.6717605202925456</c:v>
                </c:pt>
                <c:pt idx="36">
                  <c:v>1.6213169558926901</c:v>
                </c:pt>
                <c:pt idx="37">
                  <c:v>1.5753828145865019</c:v>
                </c:pt>
                <c:pt idx="38">
                  <c:v>1.5334130503179517</c:v>
                </c:pt>
                <c:pt idx="39">
                  <c:v>1.4949453597172839</c:v>
                </c:pt>
                <c:pt idx="40">
                  <c:v>1.4595853066097328</c:v>
                </c:pt>
                <c:pt idx="41">
                  <c:v>1.4269944873240223</c:v>
                </c:pt>
                <c:pt idx="42">
                  <c:v>1.3968810497158888</c:v>
                </c:pt>
                <c:pt idx="43">
                  <c:v>1.3689920467374868</c:v>
                </c:pt>
                <c:pt idx="44">
                  <c:v>1.3431072297247058</c:v>
                </c:pt>
                <c:pt idx="45">
                  <c:v>1.3190339791391359</c:v>
                </c:pt>
                <c:pt idx="46">
                  <c:v>1.2966031398193383</c:v>
                </c:pt>
                <c:pt idx="47">
                  <c:v>1.2756655800305612</c:v>
                </c:pt>
                <c:pt idx="48">
                  <c:v>1.2560893332154237</c:v>
                </c:pt>
                <c:pt idx="49">
                  <c:v>1.2377572115829056</c:v>
                </c:pt>
                <c:pt idx="50">
                  <c:v>1.2205648038964934</c:v>
                </c:pt>
                <c:pt idx="51">
                  <c:v>1.2044187877717933</c:v>
                </c:pt>
                <c:pt idx="52">
                  <c:v>1.1892355007517545</c:v>
                </c:pt>
                <c:pt idx="53">
                  <c:v>1.1749397253456817</c:v>
                </c:pt>
                <c:pt idx="54">
                  <c:v>1.1614636518076611</c:v>
                </c:pt>
                <c:pt idx="55">
                  <c:v>1.1487459892248946</c:v>
                </c:pt>
                <c:pt idx="56">
                  <c:v>1.1367312008905643</c:v>
                </c:pt>
                <c:pt idx="57">
                  <c:v>1.1253688442560634</c:v>
                </c:pt>
                <c:pt idx="58">
                  <c:v>1.114612999228312</c:v>
                </c:pt>
                <c:pt idx="59">
                  <c:v>1.1044217713798485</c:v>
                </c:pt>
                <c:pt idx="60">
                  <c:v>1.0947568589117411</c:v>
                </c:pt>
                <c:pt idx="61">
                  <c:v>1.0855831740604487</c:v>
                </c:pt>
                <c:pt idx="62">
                  <c:v>1.0768685111541503</c:v>
                </c:pt>
                <c:pt idx="63">
                  <c:v>1.0685832547680676</c:v>
                </c:pt>
                <c:pt idx="64">
                  <c:v>1.0607001224543233</c:v>
                </c:pt>
                <c:pt idx="65">
                  <c:v>1.0531939373713084</c:v>
                </c:pt>
                <c:pt idx="66">
                  <c:v>1.0460414268433922</c:v>
                </c:pt>
                <c:pt idx="67">
                  <c:v>1.0392210434704514</c:v>
                </c:pt>
                <c:pt idx="68">
                  <c:v>1.0327128058992574</c:v>
                </c:pt>
                <c:pt idx="69">
                  <c:v>1.026498156782329</c:v>
                </c:pt>
                <c:pt idx="70">
                  <c:v>1.020559835798184</c:v>
                </c:pt>
                <c:pt idx="71">
                  <c:v>1.014881765901213</c:v>
                </c:pt>
                <c:pt idx="72">
                  <c:v>1.0094489512187987</c:v>
                </c:pt>
                <c:pt idx="73">
                  <c:v>1.0042473852252454</c:v>
                </c:pt>
                <c:pt idx="74">
                  <c:v>0.99926396800273432</c:v>
                </c:pt>
                <c:pt idx="75">
                  <c:v>0.99448643155385363</c:v>
                </c:pt>
                <c:pt idx="76">
                  <c:v>0.98990327226255426</c:v>
                </c:pt>
                <c:pt idx="77">
                  <c:v>0.98550368971394242</c:v>
                </c:pt>
                <c:pt idx="78">
                  <c:v>0.98127753118119398</c:v>
                </c:pt>
                <c:pt idx="79">
                  <c:v>0.97721524117228675</c:v>
                </c:pt>
                <c:pt idx="80">
                  <c:v>0.97330781550232959</c:v>
                </c:pt>
                <c:pt idx="81">
                  <c:v>0.96954675942059254</c:v>
                </c:pt>
                <c:pt idx="82">
                  <c:v>0.96592404937641863</c:v>
                </c:pt>
                <c:pt idx="83">
                  <c:v>0.96243209805613239</c:v>
                </c:pt>
                <c:pt idx="84">
                  <c:v>0.95906372236489468</c:v>
                </c:pt>
                <c:pt idx="85">
                  <c:v>0.9558121140640673</c:v>
                </c:pt>
                <c:pt idx="86">
                  <c:v>0.95267081280666932</c:v>
                </c:pt>
                <c:pt idx="87">
                  <c:v>0.94963368134168946</c:v>
                </c:pt>
                <c:pt idx="88">
                  <c:v>0.94669488268275159</c:v>
                </c:pt>
                <c:pt idx="89">
                  <c:v>0.94384885905843596</c:v>
                </c:pt>
                <c:pt idx="90">
                  <c:v>0.94109031248082842</c:v>
                </c:pt>
                <c:pt idx="91">
                  <c:v>0.93841418678588728</c:v>
                </c:pt>
                <c:pt idx="92">
                  <c:v>0.93581565101429021</c:v>
                </c:pt>
                <c:pt idx="93">
                  <c:v>0.93329008401482738</c:v>
                </c:pt>
                <c:pt idx="94">
                  <c:v>0.93083306016428369</c:v>
                </c:pt>
                <c:pt idx="95">
                  <c:v>0.92844033610835497</c:v>
                </c:pt>
                <c:pt idx="96">
                  <c:v>0.92610783843758571</c:v>
                </c:pt>
                <c:pt idx="97">
                  <c:v>0.92383165222075569</c:v>
                </c:pt>
                <c:pt idx="98">
                  <c:v>0.92160801032568929</c:v>
                </c:pt>
                <c:pt idx="99">
                  <c:v>0.91943328346423081</c:v>
                </c:pt>
                <c:pt idx="100">
                  <c:v>0.91730397090420135</c:v>
                </c:pt>
                <c:pt idx="101">
                  <c:v>0.91521669179661647</c:v>
                </c:pt>
                <c:pt idx="102">
                  <c:v>0.91316817707135833</c:v>
                </c:pt>
              </c:numCache>
            </c:numRef>
          </c:yVal>
          <c:smooth val="1"/>
        </c:ser>
        <c:axId val="167931264"/>
        <c:axId val="167937152"/>
      </c:scatterChart>
      <c:valAx>
        <c:axId val="167931264"/>
        <c:scaling>
          <c:orientation val="minMax"/>
          <c:max val="120"/>
          <c:min val="30"/>
        </c:scaling>
        <c:axPos val="b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minorGridlines/>
        <c:numFmt formatCode="#,##0_ 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937152"/>
        <c:crosses val="autoZero"/>
        <c:crossBetween val="midCat"/>
        <c:majorUnit val="10"/>
        <c:minorUnit val="5"/>
      </c:valAx>
      <c:valAx>
        <c:axId val="167937152"/>
        <c:scaling>
          <c:orientation val="minMax"/>
          <c:max val="1.7"/>
          <c:min val="0.70000000000000062"/>
        </c:scaling>
        <c:axPos val="l"/>
        <c:majorGridlines>
          <c:spPr>
            <a:ln>
              <a:prstDash val="sysDash"/>
            </a:ln>
          </c:spPr>
        </c:majorGridlines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931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925384326959164"/>
          <c:y val="5.2417716791249104E-2"/>
          <c:w val="0.18172336948447543"/>
          <c:h val="0.23499562554680709"/>
        </c:manualLayout>
      </c:layout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314326</xdr:colOff>
      <xdr:row>0</xdr:row>
      <xdr:rowOff>15325</xdr:rowOff>
    </xdr:from>
    <xdr:to>
      <xdr:col>1</xdr:col>
      <xdr:colOff>1857376</xdr:colOff>
      <xdr:row>2</xdr:row>
      <xdr:rowOff>133351</xdr:rowOff>
    </xdr:to>
    <xdr:pic>
      <xdr:nvPicPr>
        <xdr:cNvPr id="4" name="Picture 2" descr="Fairchild_TM_PMS.ep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6" y="15325"/>
          <a:ext cx="1543050" cy="44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600075</xdr:colOff>
      <xdr:row>40</xdr:row>
      <xdr:rowOff>47626</xdr:rowOff>
    </xdr:from>
    <xdr:to>
      <xdr:col>10</xdr:col>
      <xdr:colOff>19050</xdr:colOff>
      <xdr:row>62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40</xdr:row>
      <xdr:rowOff>57150</xdr:rowOff>
    </xdr:from>
    <xdr:to>
      <xdr:col>5</xdr:col>
      <xdr:colOff>457200</xdr:colOff>
      <xdr:row>62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1428750</xdr:colOff>
      <xdr:row>41</xdr:row>
      <xdr:rowOff>19050</xdr:rowOff>
    </xdr:from>
    <xdr:to>
      <xdr:col>1</xdr:col>
      <xdr:colOff>1438277</xdr:colOff>
      <xdr:row>60</xdr:row>
      <xdr:rowOff>123826</xdr:rowOff>
    </xdr:to>
    <xdr:cxnSp macro="">
      <xdr:nvCxnSpPr>
        <xdr:cNvPr id="7" name="Straight Arrow Connector 6"/>
        <xdr:cNvCxnSpPr/>
      </xdr:nvCxnSpPr>
      <xdr:spPr>
        <a:xfrm>
          <a:off x="1600200" y="6677025"/>
          <a:ext cx="9527" cy="3181351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292344</xdr:colOff>
      <xdr:row>42</xdr:row>
      <xdr:rowOff>51289</xdr:rowOff>
    </xdr:from>
    <xdr:to>
      <xdr:col>5</xdr:col>
      <xdr:colOff>104775</xdr:colOff>
      <xdr:row>42</xdr:row>
      <xdr:rowOff>57150</xdr:rowOff>
    </xdr:to>
    <xdr:cxnSp macro="">
      <xdr:nvCxnSpPr>
        <xdr:cNvPr id="11" name="Straight Arrow Connector 10"/>
        <xdr:cNvCxnSpPr/>
      </xdr:nvCxnSpPr>
      <xdr:spPr>
        <a:xfrm flipH="1" flipV="1">
          <a:off x="463794" y="6871189"/>
          <a:ext cx="3222381" cy="5861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48747</xdr:colOff>
      <xdr:row>81</xdr:row>
      <xdr:rowOff>132229</xdr:rowOff>
    </xdr:from>
    <xdr:to>
      <xdr:col>10</xdr:col>
      <xdr:colOff>246530</xdr:colOff>
      <xdr:row>128</xdr:row>
      <xdr:rowOff>11766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544285</xdr:colOff>
      <xdr:row>18</xdr:row>
      <xdr:rowOff>0</xdr:rowOff>
    </xdr:from>
    <xdr:to>
      <xdr:col>29</xdr:col>
      <xdr:colOff>231321</xdr:colOff>
      <xdr:row>51</xdr:row>
      <xdr:rowOff>40821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1</xdr:row>
      <xdr:rowOff>123825</xdr:rowOff>
    </xdr:from>
    <xdr:to>
      <xdr:col>15</xdr:col>
      <xdr:colOff>714375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9"/>
  <sheetViews>
    <sheetView tabSelected="1" workbookViewId="0">
      <selection activeCell="M18" sqref="M18"/>
    </sheetView>
  </sheetViews>
  <sheetFormatPr defaultRowHeight="12.75"/>
  <cols>
    <col min="1" max="1" width="2.5703125" style="1" customWidth="1"/>
    <col min="2" max="2" width="34.85546875" style="1" customWidth="1"/>
    <col min="3" max="3" width="8.7109375" style="1" customWidth="1"/>
    <col min="4" max="4" width="4.28515625" style="1" customWidth="1"/>
    <col min="5" max="5" width="3.28515625" style="1" customWidth="1"/>
    <col min="6" max="6" width="33.7109375" style="1" customWidth="1"/>
    <col min="7" max="7" width="9.42578125" style="1" customWidth="1"/>
    <col min="8" max="8" width="4.28515625" style="1" customWidth="1"/>
    <col min="9" max="9" width="3.7109375" style="1" customWidth="1"/>
    <col min="10" max="10" width="9.140625" style="1"/>
    <col min="11" max="11" width="12" style="1" bestFit="1" customWidth="1"/>
    <col min="12" max="12" width="9.5703125" style="1" bestFit="1" customWidth="1"/>
    <col min="13" max="16384" width="9.140625" style="1"/>
  </cols>
  <sheetData>
    <row r="1" spans="1:10">
      <c r="C1" s="2" t="s">
        <v>0</v>
      </c>
      <c r="D1" s="3"/>
      <c r="E1" s="3"/>
      <c r="F1" s="3"/>
      <c r="G1" s="2"/>
      <c r="H1" s="3"/>
      <c r="I1" s="4" t="s">
        <v>1</v>
      </c>
      <c r="J1" s="5">
        <v>1000</v>
      </c>
    </row>
    <row r="2" spans="1:10">
      <c r="C2" s="6" t="s">
        <v>2</v>
      </c>
      <c r="D2" s="7" t="s">
        <v>3</v>
      </c>
      <c r="E2" s="7"/>
      <c r="F2" s="7"/>
      <c r="I2" s="8" t="s">
        <v>4</v>
      </c>
    </row>
    <row r="3" spans="1:10">
      <c r="C3" s="10" t="s">
        <v>5</v>
      </c>
      <c r="D3" s="11" t="s">
        <v>6</v>
      </c>
      <c r="E3" s="11"/>
      <c r="F3" s="11"/>
      <c r="G3" s="9">
        <v>9.9999999999999995E-7</v>
      </c>
      <c r="I3" s="8" t="s">
        <v>7</v>
      </c>
    </row>
    <row r="4" spans="1:10">
      <c r="B4" s="12" t="s">
        <v>177</v>
      </c>
      <c r="G4" s="9">
        <v>1.0000000000000001E-9</v>
      </c>
      <c r="I4" s="8" t="s">
        <v>8</v>
      </c>
    </row>
    <row r="5" spans="1:10">
      <c r="A5" s="13" t="s">
        <v>9</v>
      </c>
      <c r="B5" s="14"/>
      <c r="C5" s="14"/>
      <c r="D5" s="14"/>
      <c r="E5" s="14"/>
      <c r="F5" s="14"/>
      <c r="G5" s="14"/>
      <c r="H5" s="14"/>
      <c r="I5" s="14"/>
      <c r="J5" s="9">
        <v>9.9999999999999998E-13</v>
      </c>
    </row>
    <row r="6" spans="1:10">
      <c r="B6" s="15" t="s">
        <v>12</v>
      </c>
      <c r="C6" s="16">
        <v>12.5</v>
      </c>
      <c r="D6" s="1" t="s">
        <v>11</v>
      </c>
      <c r="F6" s="17" t="s">
        <v>13</v>
      </c>
      <c r="G6" s="18">
        <f>Vo*Io</f>
        <v>250</v>
      </c>
      <c r="H6" s="19" t="s">
        <v>14</v>
      </c>
    </row>
    <row r="7" spans="1:10">
      <c r="B7" s="15" t="s">
        <v>15</v>
      </c>
      <c r="C7" s="16">
        <v>20</v>
      </c>
      <c r="D7" s="1" t="s">
        <v>16</v>
      </c>
      <c r="F7" s="17" t="s">
        <v>17</v>
      </c>
      <c r="G7" s="20">
        <f>Vo*Io/Eff*100</f>
        <v>260.41666666666663</v>
      </c>
      <c r="H7" s="19" t="s">
        <v>14</v>
      </c>
    </row>
    <row r="8" spans="1:10">
      <c r="B8" s="15" t="s">
        <v>18</v>
      </c>
      <c r="C8" s="16">
        <v>96</v>
      </c>
      <c r="D8" s="1" t="s">
        <v>19</v>
      </c>
      <c r="F8" s="17" t="s">
        <v>175</v>
      </c>
      <c r="G8" s="86">
        <f>SQRT(Vin_max^2-2*Pin*Thu*0.001/Cdl/0.000001)</f>
        <v>300.92450142112983</v>
      </c>
      <c r="H8" s="19" t="s">
        <v>11</v>
      </c>
    </row>
    <row r="9" spans="1:10">
      <c r="B9" s="87" t="s">
        <v>10</v>
      </c>
      <c r="C9" s="88">
        <v>400</v>
      </c>
      <c r="D9" s="19" t="s">
        <v>11</v>
      </c>
      <c r="E9" s="19"/>
      <c r="F9" s="87" t="s">
        <v>176</v>
      </c>
      <c r="G9" s="90">
        <v>300</v>
      </c>
      <c r="H9" s="19" t="s">
        <v>11</v>
      </c>
    </row>
    <row r="10" spans="1:10">
      <c r="B10" s="15" t="s">
        <v>20</v>
      </c>
      <c r="C10" s="16">
        <v>20</v>
      </c>
      <c r="D10" s="1" t="s">
        <v>21</v>
      </c>
      <c r="F10" s="17"/>
      <c r="G10" s="56" t="str">
        <f>IF(G8&lt;Vin_min, "Error! It should be lower than the input voltage during holdup time","OK")</f>
        <v>OK</v>
      </c>
      <c r="H10" s="19"/>
    </row>
    <row r="11" spans="1:10">
      <c r="B11" s="15" t="s">
        <v>22</v>
      </c>
      <c r="C11" s="16">
        <v>150</v>
      </c>
      <c r="D11" s="1" t="s">
        <v>23</v>
      </c>
    </row>
    <row r="13" spans="1:10">
      <c r="A13" s="13" t="s">
        <v>24</v>
      </c>
      <c r="B13" s="14"/>
      <c r="C13" s="14"/>
      <c r="D13" s="14"/>
      <c r="E13" s="14"/>
      <c r="F13" s="14"/>
      <c r="G13" s="14"/>
      <c r="H13" s="14"/>
      <c r="I13" s="14"/>
    </row>
    <row r="14" spans="1:10">
      <c r="B14" s="15" t="s">
        <v>25</v>
      </c>
      <c r="C14" s="16">
        <v>4.75</v>
      </c>
      <c r="H14" s="19"/>
    </row>
    <row r="16" spans="1:10">
      <c r="B16" s="21" t="s">
        <v>26</v>
      </c>
      <c r="C16" s="22"/>
      <c r="D16" s="23"/>
    </row>
    <row r="17" spans="1:9">
      <c r="B17" s="24" t="s">
        <v>27</v>
      </c>
      <c r="C17" s="25"/>
      <c r="D17" s="26"/>
    </row>
    <row r="18" spans="1:9">
      <c r="B18" s="1" t="s">
        <v>28</v>
      </c>
      <c r="C18" s="16">
        <v>1</v>
      </c>
    </row>
    <row r="19" spans="1:9">
      <c r="B19" s="17" t="s">
        <v>29</v>
      </c>
      <c r="C19" s="27">
        <f>SQRT(mm/(mm-1))*answer+(1-answer)</f>
        <v>1.1254628677422756</v>
      </c>
    </row>
    <row r="21" spans="1:9">
      <c r="B21" s="21" t="s">
        <v>30</v>
      </c>
      <c r="C21" s="22"/>
      <c r="D21" s="23"/>
    </row>
    <row r="22" spans="1:9">
      <c r="B22" s="24" t="s">
        <v>31</v>
      </c>
      <c r="C22" s="25"/>
      <c r="D22" s="26"/>
    </row>
    <row r="24" spans="1:9">
      <c r="B24" s="15" t="s">
        <v>32</v>
      </c>
      <c r="C24" s="28">
        <v>1.1000000000000001</v>
      </c>
    </row>
    <row r="25" spans="1:9">
      <c r="B25" s="17" t="s">
        <v>33</v>
      </c>
      <c r="C25" s="27">
        <f>M_min*Vin_max/Vin_min</f>
        <v>1.4666666666666668</v>
      </c>
    </row>
    <row r="27" spans="1:9">
      <c r="A27" s="13" t="s">
        <v>34</v>
      </c>
      <c r="B27" s="14"/>
      <c r="C27" s="14"/>
      <c r="D27" s="14"/>
      <c r="E27" s="14"/>
      <c r="F27" s="14"/>
      <c r="G27" s="14"/>
      <c r="H27" s="14"/>
      <c r="I27" s="14"/>
    </row>
    <row r="28" spans="1:9">
      <c r="B28" s="15" t="s">
        <v>35</v>
      </c>
      <c r="C28" s="16">
        <v>0</v>
      </c>
      <c r="D28" s="1" t="s">
        <v>11</v>
      </c>
      <c r="F28" s="17" t="s">
        <v>36</v>
      </c>
      <c r="G28" s="27">
        <f>Vin_max*M_min/2/(Vo+VF)</f>
        <v>17.600000000000001</v>
      </c>
    </row>
    <row r="29" spans="1:9">
      <c r="F29" s="29">
        <f>35/2</f>
        <v>17.5</v>
      </c>
    </row>
    <row r="30" spans="1:9">
      <c r="A30" s="13" t="s">
        <v>37</v>
      </c>
      <c r="B30" s="14"/>
      <c r="C30" s="14"/>
      <c r="D30" s="14"/>
      <c r="E30" s="14"/>
      <c r="F30" s="14"/>
      <c r="G30" s="14"/>
      <c r="H30" s="14"/>
      <c r="I30" s="14"/>
    </row>
    <row r="31" spans="1:9">
      <c r="F31" s="17" t="s">
        <v>38</v>
      </c>
      <c r="G31" s="30">
        <f>8*nn^2*Vo^2/(3.14)^2/Po</f>
        <v>157.08548014118222</v>
      </c>
      <c r="H31" s="19" t="s">
        <v>39</v>
      </c>
    </row>
    <row r="33" spans="1:9">
      <c r="A33" s="13" t="s">
        <v>40</v>
      </c>
      <c r="B33" s="14"/>
      <c r="C33" s="14"/>
      <c r="D33" s="14"/>
      <c r="E33" s="14"/>
      <c r="F33" s="14"/>
      <c r="G33" s="14"/>
      <c r="H33" s="14"/>
      <c r="I33" s="14"/>
    </row>
    <row r="34" spans="1:9" ht="13.5" thickBot="1">
      <c r="B34" s="13" t="s">
        <v>41</v>
      </c>
      <c r="F34" s="13" t="s">
        <v>42</v>
      </c>
    </row>
    <row r="35" spans="1:9">
      <c r="B35" s="31" t="s">
        <v>43</v>
      </c>
      <c r="C35" s="91">
        <v>106</v>
      </c>
      <c r="D35" s="32" t="s">
        <v>44</v>
      </c>
      <c r="F35" s="33" t="s">
        <v>45</v>
      </c>
      <c r="G35" s="93">
        <v>22</v>
      </c>
      <c r="H35" s="34" t="s">
        <v>46</v>
      </c>
    </row>
    <row r="36" spans="1:9">
      <c r="B36" s="35" t="s">
        <v>47</v>
      </c>
      <c r="C36" s="92">
        <v>0.41</v>
      </c>
      <c r="D36" s="36"/>
      <c r="F36" s="37" t="s">
        <v>48</v>
      </c>
      <c r="G36" s="92">
        <v>100</v>
      </c>
      <c r="H36" s="38" t="s">
        <v>49</v>
      </c>
    </row>
    <row r="37" spans="1:9">
      <c r="B37" s="39" t="s">
        <v>50</v>
      </c>
      <c r="C37" s="40">
        <f>1/(2*3.14*Qd*fod*k*Rac)/n</f>
        <v>23.324620720868051</v>
      </c>
      <c r="D37" s="41" t="s">
        <v>46</v>
      </c>
      <c r="F37" s="37" t="s">
        <v>51</v>
      </c>
      <c r="G37" s="92">
        <v>475</v>
      </c>
      <c r="H37" s="38" t="s">
        <v>49</v>
      </c>
    </row>
    <row r="38" spans="1:9">
      <c r="B38" s="39" t="s">
        <v>52</v>
      </c>
      <c r="C38" s="42">
        <f>1/(2*3.14*fod)^2/Crd/n</f>
        <v>96.750761413719331</v>
      </c>
      <c r="D38" s="41" t="s">
        <v>49</v>
      </c>
      <c r="F38" s="43" t="s">
        <v>53</v>
      </c>
      <c r="G38" s="44">
        <f>SQRT(Lr*u/Cr/n)/Rac</f>
        <v>0.42919298579174714</v>
      </c>
      <c r="H38" s="38"/>
    </row>
    <row r="39" spans="1:9">
      <c r="B39" s="45" t="s">
        <v>54</v>
      </c>
      <c r="C39" s="46">
        <f>mm*Lrd</f>
        <v>459.5661167151668</v>
      </c>
      <c r="D39" s="47" t="s">
        <v>49</v>
      </c>
      <c r="F39" s="43" t="s">
        <v>55</v>
      </c>
      <c r="G39" s="42">
        <f>1/2/3.14/SQRT(Lr*Cr*n*u)/1000</f>
        <v>107.35666599733155</v>
      </c>
      <c r="H39" s="38" t="s">
        <v>44</v>
      </c>
    </row>
    <row r="40" spans="1:9" ht="13.5" thickBot="1">
      <c r="B40" s="8" t="s">
        <v>56</v>
      </c>
      <c r="C40" s="8">
        <f>SQRT(Ma/(Ma-1))</f>
        <v>1.1254628677422756</v>
      </c>
      <c r="F40" s="48" t="s">
        <v>57</v>
      </c>
      <c r="G40" s="49">
        <f>Lp/Lr</f>
        <v>4.75</v>
      </c>
      <c r="H40" s="50"/>
    </row>
    <row r="49" spans="1:12">
      <c r="L49" s="89"/>
    </row>
    <row r="64" spans="1:12">
      <c r="A64" s="13" t="s">
        <v>58</v>
      </c>
      <c r="B64" s="14"/>
      <c r="C64" s="14"/>
      <c r="D64" s="14"/>
      <c r="E64" s="14"/>
      <c r="F64" s="14"/>
      <c r="G64" s="14"/>
      <c r="H64" s="14"/>
      <c r="I64" s="14"/>
    </row>
    <row r="65" spans="1:9" ht="14.25">
      <c r="B65" s="15" t="s">
        <v>59</v>
      </c>
      <c r="C65" s="94">
        <v>172</v>
      </c>
      <c r="D65" s="15" t="s">
        <v>60</v>
      </c>
      <c r="F65" s="51" t="s">
        <v>61</v>
      </c>
      <c r="G65" s="20">
        <f>nn*(Vo+VF)/(4*fo*Bmax*Ae)*1000</f>
        <v>29.785522760963278</v>
      </c>
      <c r="H65" s="19" t="s">
        <v>62</v>
      </c>
    </row>
    <row r="66" spans="1:9">
      <c r="B66" s="15" t="s">
        <v>178</v>
      </c>
      <c r="C66" s="94">
        <v>0.1</v>
      </c>
      <c r="D66" s="15" t="s">
        <v>63</v>
      </c>
      <c r="F66" s="51" t="s">
        <v>64</v>
      </c>
      <c r="G66" s="30">
        <f>Ns*nn</f>
        <v>35.200000000000003</v>
      </c>
      <c r="H66" s="19" t="s">
        <v>62</v>
      </c>
    </row>
    <row r="67" spans="1:9">
      <c r="F67" s="51" t="s">
        <v>65</v>
      </c>
      <c r="G67" s="52">
        <f>SQRT((3.14*Io/2/SQRT(2)/nn)^2+(nn*(Vo+VF)/4/SQRT(2)/fo/k/Mv/(Lp-Lr)/u)^2)</f>
        <v>1.5258529332870152</v>
      </c>
      <c r="H67" s="19" t="s">
        <v>66</v>
      </c>
    </row>
    <row r="68" spans="1:9">
      <c r="B68" s="15" t="s">
        <v>67</v>
      </c>
      <c r="C68" s="94">
        <v>2</v>
      </c>
      <c r="D68" s="15" t="s">
        <v>62</v>
      </c>
      <c r="F68" s="51" t="s">
        <v>68</v>
      </c>
      <c r="G68" s="52">
        <f>(3.14*Io/4)</f>
        <v>15.700000000000001</v>
      </c>
      <c r="H68" s="19" t="s">
        <v>66</v>
      </c>
    </row>
    <row r="70" spans="1:9">
      <c r="A70" s="13" t="s">
        <v>69</v>
      </c>
      <c r="B70" s="14"/>
      <c r="C70" s="14"/>
      <c r="D70" s="14"/>
      <c r="E70" s="14"/>
      <c r="F70" s="14"/>
      <c r="G70" s="14"/>
      <c r="H70" s="14"/>
      <c r="I70" s="14"/>
    </row>
    <row r="71" spans="1:9">
      <c r="B71" s="15" t="s">
        <v>70</v>
      </c>
      <c r="C71" s="94">
        <v>30</v>
      </c>
      <c r="D71" s="15" t="s">
        <v>16</v>
      </c>
      <c r="F71" s="51" t="s">
        <v>71</v>
      </c>
      <c r="G71" s="27">
        <f>SQRT((3.14*Io/2/SQRT(2)/nn)^2+(nn*(Vo+VF)/4/SQRT(2)/fo/k/Mv/(Lp-Lr)/u)^2)</f>
        <v>1.5258529332870152</v>
      </c>
      <c r="H71" s="19" t="s">
        <v>16</v>
      </c>
    </row>
    <row r="72" spans="1:9">
      <c r="B72" s="1" t="s">
        <v>72</v>
      </c>
      <c r="C72" s="94">
        <v>110</v>
      </c>
      <c r="D72" s="15" t="s">
        <v>44</v>
      </c>
      <c r="F72" s="51" t="s">
        <v>73</v>
      </c>
      <c r="G72" s="27">
        <f>Vin_max/2+Io/(4*fs_nrm*Np/Ns*Cr)*1000000</f>
        <v>317.39293764087154</v>
      </c>
      <c r="H72" s="19" t="s">
        <v>11</v>
      </c>
    </row>
    <row r="73" spans="1:9">
      <c r="B73" s="1" t="s">
        <v>74</v>
      </c>
      <c r="C73" s="94">
        <v>75</v>
      </c>
      <c r="D73" s="15" t="s">
        <v>44</v>
      </c>
      <c r="F73" s="51" t="s">
        <v>75</v>
      </c>
      <c r="G73" s="27">
        <f>Vin_max/2+Iocp/(4*fs_nrm*Np/Ns*Cr)*1000000</f>
        <v>376.08940646130725</v>
      </c>
      <c r="H73" s="19" t="s">
        <v>11</v>
      </c>
    </row>
    <row r="74" spans="1:9">
      <c r="F74" s="51" t="s">
        <v>76</v>
      </c>
      <c r="G74" s="27">
        <f>Vin_min/2+Io/(4*f_min*Np/Ns*Cr)*1000000+Np/Ns*(Vo+VF)/(4*Mv*fo*(Lp-Lr))*(1/2/f_min-1/2/fo)/Cr*1000000000</f>
        <v>433.04069174943299</v>
      </c>
      <c r="H74" s="19" t="s">
        <v>11</v>
      </c>
    </row>
    <row r="76" spans="1:9">
      <c r="A76" s="13" t="s">
        <v>77</v>
      </c>
      <c r="B76" s="14"/>
      <c r="C76" s="14"/>
      <c r="D76" s="14"/>
      <c r="E76" s="14"/>
      <c r="F76" s="14"/>
      <c r="G76" s="14"/>
      <c r="H76" s="14"/>
      <c r="I76" s="14"/>
    </row>
    <row r="77" spans="1:9">
      <c r="B77" s="21" t="s">
        <v>78</v>
      </c>
      <c r="C77" s="22"/>
      <c r="D77" s="23"/>
      <c r="F77" s="51" t="s">
        <v>79</v>
      </c>
      <c r="G77" s="20">
        <f>2*(Vo+VF)</f>
        <v>25</v>
      </c>
      <c r="H77" s="19" t="s">
        <v>11</v>
      </c>
    </row>
    <row r="78" spans="1:9">
      <c r="B78" s="24"/>
      <c r="C78" s="25"/>
      <c r="D78" s="26"/>
      <c r="F78" s="51" t="s">
        <v>80</v>
      </c>
      <c r="G78" s="27">
        <f>3.14/4*Io</f>
        <v>15.700000000000001</v>
      </c>
      <c r="H78" s="19" t="s">
        <v>16</v>
      </c>
    </row>
    <row r="79" spans="1:9">
      <c r="B79" s="15" t="s">
        <v>81</v>
      </c>
      <c r="C79" s="94">
        <v>7200</v>
      </c>
      <c r="D79" s="19" t="s">
        <v>23</v>
      </c>
      <c r="F79" s="51" t="s">
        <v>82</v>
      </c>
      <c r="G79" s="27">
        <f>SQRT((3.14^2-8)/8)*Io</f>
        <v>9.6426137535421379</v>
      </c>
      <c r="H79" s="19" t="s">
        <v>16</v>
      </c>
    </row>
    <row r="80" spans="1:9">
      <c r="B80" s="15" t="s">
        <v>83</v>
      </c>
      <c r="C80" s="94">
        <v>2.25</v>
      </c>
      <c r="D80" s="19" t="s">
        <v>84</v>
      </c>
      <c r="F80" s="51" t="s">
        <v>85</v>
      </c>
      <c r="G80" s="27">
        <f>3.14/2*Io*ESR+3.14/2*Io*67/fo/Cout*1000</f>
        <v>73.371716828014272</v>
      </c>
      <c r="H80" s="19" t="s">
        <v>86</v>
      </c>
    </row>
    <row r="82" spans="1:9">
      <c r="A82" s="13" t="s">
        <v>87</v>
      </c>
      <c r="B82" s="14"/>
      <c r="C82" s="14"/>
      <c r="D82" s="14"/>
      <c r="E82" s="14"/>
      <c r="F82" s="14"/>
      <c r="G82" s="14"/>
      <c r="H82" s="14"/>
      <c r="I82" s="14"/>
    </row>
    <row r="83" spans="1:9">
      <c r="B83" s="53" t="s">
        <v>88</v>
      </c>
      <c r="C83" s="54">
        <f>SQRT(2)*G67</f>
        <v>2.1578819124412663</v>
      </c>
      <c r="D83" s="19" t="s">
        <v>16</v>
      </c>
    </row>
    <row r="84" spans="1:9" ht="15">
      <c r="B84" s="15" t="s">
        <v>89</v>
      </c>
      <c r="C84" s="94">
        <v>5.5</v>
      </c>
      <c r="D84" s="1" t="s">
        <v>16</v>
      </c>
      <c r="F84" s="55"/>
    </row>
    <row r="85" spans="1:9">
      <c r="B85" s="56" t="s">
        <v>90</v>
      </c>
      <c r="C85" s="57">
        <f>Iocp</f>
        <v>30</v>
      </c>
      <c r="D85" s="1" t="s">
        <v>16</v>
      </c>
    </row>
    <row r="86" spans="1:9">
      <c r="B86" s="1" t="s">
        <v>91</v>
      </c>
      <c r="C86" s="94">
        <v>50</v>
      </c>
      <c r="D86" s="15"/>
    </row>
    <row r="87" spans="1:9">
      <c r="B87" s="53" t="s">
        <v>92</v>
      </c>
      <c r="C87" s="58">
        <f>2.4*nct*4*fo*Mv*(Lp-Lr)/(Np/Ns*(Vo+VF))/1000</f>
        <v>98.85758824195068</v>
      </c>
      <c r="D87" s="19" t="s">
        <v>39</v>
      </c>
    </row>
    <row r="88" spans="1:9">
      <c r="B88" s="15" t="s">
        <v>93</v>
      </c>
      <c r="C88" s="94">
        <v>100</v>
      </c>
      <c r="D88" s="19" t="s">
        <v>39</v>
      </c>
    </row>
    <row r="89" spans="1:9">
      <c r="B89" s="1" t="s">
        <v>94</v>
      </c>
      <c r="C89" s="95">
        <v>31.8</v>
      </c>
      <c r="D89" s="19" t="s">
        <v>39</v>
      </c>
    </row>
    <row r="90" spans="1:9">
      <c r="B90" s="1" t="s">
        <v>95</v>
      </c>
      <c r="C90" s="95">
        <f>C88-C89</f>
        <v>68.2</v>
      </c>
      <c r="D90" s="19" t="s">
        <v>39</v>
      </c>
    </row>
    <row r="91" spans="1:9">
      <c r="B91" s="53" t="s">
        <v>96</v>
      </c>
      <c r="C91" s="54">
        <f>(Np/Ns*(Vo+VF))/(nct*4*fo*Mv*(Lp-Lr))*C88*1000</f>
        <v>2.4277347269752112</v>
      </c>
      <c r="D91" s="1" t="s">
        <v>11</v>
      </c>
    </row>
    <row r="92" spans="1:9">
      <c r="B92" s="15" t="s">
        <v>97</v>
      </c>
      <c r="C92" s="94">
        <v>1</v>
      </c>
      <c r="D92" s="15" t="s">
        <v>46</v>
      </c>
    </row>
    <row r="93" spans="1:9">
      <c r="B93" s="1" t="s">
        <v>98</v>
      </c>
      <c r="C93" s="94">
        <v>200</v>
      </c>
      <c r="D93" s="19" t="s">
        <v>99</v>
      </c>
    </row>
    <row r="94" spans="1:9">
      <c r="B94" s="1" t="s">
        <v>100</v>
      </c>
      <c r="C94" s="94">
        <v>0.9</v>
      </c>
      <c r="D94" s="19"/>
    </row>
    <row r="95" spans="1:9">
      <c r="B95" s="1" t="s">
        <v>101</v>
      </c>
      <c r="C95" s="94">
        <v>0.82</v>
      </c>
    </row>
    <row r="96" spans="1:9">
      <c r="B96" s="15" t="s">
        <v>102</v>
      </c>
      <c r="C96" s="59">
        <f>5/C93/CICS*0.5/fs_nrm*1000</f>
        <v>0.11363636363636363</v>
      </c>
      <c r="D96" s="19" t="s">
        <v>11</v>
      </c>
      <c r="F96" s="60"/>
    </row>
    <row r="97" spans="1:9">
      <c r="B97" s="15" t="s">
        <v>103</v>
      </c>
      <c r="C97" s="61">
        <f>C88/nct/(1.2-C96)*Attn1/CICS*(Io.olp*Ns/Np*0.5/fs_nrm)*1000000</f>
        <v>12837.580829212628</v>
      </c>
      <c r="D97" s="19" t="s">
        <v>39</v>
      </c>
      <c r="F97" s="60"/>
    </row>
    <row r="98" spans="1:9">
      <c r="B98" s="15" t="s">
        <v>104</v>
      </c>
      <c r="C98" s="59">
        <f>(Io*Ns/Np/2/f_min+Np/Ns*(Vo+VF)/(4*Mv*(Lp-Lr)*fo)*(500/f_min-500/fo))*C88/nct/C97/CICS*1000000*attn2+5/C93/CICS*0.5/f_min*1000</f>
        <v>1.4460533041448513</v>
      </c>
      <c r="D98" s="19" t="s">
        <v>11</v>
      </c>
    </row>
    <row r="100" spans="1:9">
      <c r="A100" s="13" t="s">
        <v>105</v>
      </c>
      <c r="B100" s="14"/>
      <c r="C100" s="14"/>
      <c r="D100" s="14"/>
      <c r="E100" s="14"/>
      <c r="F100" s="14"/>
      <c r="G100" s="14"/>
      <c r="H100" s="14"/>
      <c r="I100" s="14"/>
    </row>
    <row r="101" spans="1:9">
      <c r="B101" s="53" t="s">
        <v>106</v>
      </c>
      <c r="C101" s="54">
        <f>Cout*Vo/(Io.olp-Io)/1000</f>
        <v>9</v>
      </c>
      <c r="D101" s="19" t="s">
        <v>21</v>
      </c>
    </row>
    <row r="102" spans="1:9" ht="15">
      <c r="B102" s="15" t="s">
        <v>107</v>
      </c>
      <c r="C102" s="94">
        <v>50</v>
      </c>
      <c r="D102" s="1" t="s">
        <v>21</v>
      </c>
      <c r="F102" s="55"/>
    </row>
    <row r="103" spans="1:9">
      <c r="B103" s="53" t="s">
        <v>108</v>
      </c>
      <c r="C103" s="62">
        <f>C102/2.4*40</f>
        <v>833.33333333333348</v>
      </c>
      <c r="D103" s="19" t="s">
        <v>46</v>
      </c>
    </row>
    <row r="105" spans="1:9">
      <c r="A105" s="13" t="s">
        <v>109</v>
      </c>
      <c r="B105" s="14"/>
      <c r="C105" s="14"/>
      <c r="D105" s="14"/>
      <c r="E105" s="14"/>
      <c r="F105" s="14"/>
      <c r="G105" s="14"/>
      <c r="H105" s="14"/>
      <c r="I105" s="14"/>
    </row>
    <row r="106" spans="1:9">
      <c r="B106" s="53" t="s">
        <v>110</v>
      </c>
      <c r="C106" s="54">
        <f>f_min</f>
        <v>75</v>
      </c>
      <c r="D106" s="19" t="s">
        <v>44</v>
      </c>
    </row>
    <row r="107" spans="1:9" ht="15">
      <c r="B107" s="15" t="s">
        <v>111</v>
      </c>
      <c r="C107" s="94">
        <v>67</v>
      </c>
      <c r="D107" s="1" t="s">
        <v>44</v>
      </c>
      <c r="F107" s="55"/>
    </row>
    <row r="108" spans="1:9" ht="14.25">
      <c r="B108" s="53" t="s">
        <v>112</v>
      </c>
      <c r="C108" s="63">
        <f>1000/C107</f>
        <v>14.925373134328359</v>
      </c>
      <c r="D108" s="19" t="s">
        <v>99</v>
      </c>
    </row>
    <row r="110" spans="1:9">
      <c r="A110" s="13" t="s">
        <v>113</v>
      </c>
      <c r="B110" s="14"/>
      <c r="C110" s="14"/>
      <c r="D110" s="14"/>
      <c r="E110" s="14"/>
      <c r="F110" s="14"/>
      <c r="G110" s="14"/>
      <c r="H110" s="14"/>
      <c r="I110" s="14"/>
    </row>
    <row r="111" spans="1:9">
      <c r="B111" s="15" t="s">
        <v>114</v>
      </c>
      <c r="C111" s="94">
        <v>1.5</v>
      </c>
      <c r="D111" s="1" t="s">
        <v>11</v>
      </c>
    </row>
    <row r="112" spans="1:9" ht="15">
      <c r="B112" s="53" t="s">
        <v>115</v>
      </c>
      <c r="C112" s="63">
        <f>C107*2/(C111-1)</f>
        <v>268</v>
      </c>
      <c r="D112" s="19" t="s">
        <v>44</v>
      </c>
      <c r="F112" s="55"/>
    </row>
    <row r="114" spans="1:15">
      <c r="A114" s="13" t="s">
        <v>116</v>
      </c>
      <c r="B114" s="14"/>
      <c r="C114" s="14"/>
      <c r="D114" s="14"/>
      <c r="E114" s="14"/>
      <c r="F114" s="14"/>
      <c r="G114" s="14"/>
      <c r="H114" s="14"/>
      <c r="I114" s="14"/>
    </row>
    <row r="115" spans="1:15">
      <c r="B115" s="1" t="s">
        <v>117</v>
      </c>
      <c r="C115" s="96">
        <v>165</v>
      </c>
      <c r="D115" s="1" t="s">
        <v>118</v>
      </c>
    </row>
    <row r="116" spans="1:15">
      <c r="B116" s="53" t="s">
        <v>119</v>
      </c>
      <c r="C116" s="54">
        <f>Np/Ns*(Vo+VF)/(Lp-Lr)/4/fo*1000/Mv</f>
        <v>1.2138673634876058</v>
      </c>
      <c r="D116" s="1" t="s">
        <v>16</v>
      </c>
    </row>
    <row r="117" spans="1:15">
      <c r="B117" s="1" t="s">
        <v>120</v>
      </c>
      <c r="C117" s="62">
        <f>3.14/2*Vin_max*2*C115/C116/1000</f>
        <v>170.72705489384882</v>
      </c>
      <c r="D117" s="1" t="s">
        <v>121</v>
      </c>
      <c r="H117" s="64"/>
      <c r="I117" s="64"/>
      <c r="J117" s="64"/>
      <c r="K117" s="64"/>
      <c r="L117" s="64"/>
      <c r="M117" s="64"/>
      <c r="N117" s="64"/>
      <c r="O117" s="64"/>
    </row>
    <row r="118" spans="1:15">
      <c r="A118" s="65"/>
      <c r="B118" s="66" t="s">
        <v>122</v>
      </c>
      <c r="C118" s="96">
        <v>470</v>
      </c>
      <c r="D118" s="1" t="s">
        <v>118</v>
      </c>
    </row>
    <row r="119" spans="1:15">
      <c r="A119" s="65"/>
      <c r="B119" s="66" t="s">
        <v>123</v>
      </c>
      <c r="C119" s="96">
        <v>43</v>
      </c>
      <c r="D119" s="19" t="s">
        <v>99</v>
      </c>
    </row>
    <row r="120" spans="1:15">
      <c r="A120" s="65"/>
      <c r="B120" s="53" t="s">
        <v>124</v>
      </c>
      <c r="C120" s="67">
        <f>ROUND(1/32/25*(R.DT*C.DT*LN(0.15*R.DT-2)-R.DT*C.DT*LN(0.15*R.DT-4))-0.5,0)*25</f>
        <v>375</v>
      </c>
      <c r="D120" s="1" t="s">
        <v>121</v>
      </c>
    </row>
    <row r="121" spans="1:15">
      <c r="A121" s="65"/>
      <c r="B121" s="53" t="s">
        <v>125</v>
      </c>
      <c r="C121" s="67">
        <f>ROUND((-R.DT*C.DT*LN(1-3/5)+C.DT*R.DT*LN(1-1/5))/64/25,0)*25</f>
        <v>225</v>
      </c>
      <c r="D121" s="1" t="s">
        <v>121</v>
      </c>
    </row>
    <row r="122" spans="1:15">
      <c r="A122" s="65"/>
    </row>
    <row r="123" spans="1:15">
      <c r="A123" s="13" t="s">
        <v>126</v>
      </c>
      <c r="B123" s="14"/>
      <c r="C123" s="14"/>
      <c r="D123" s="14"/>
      <c r="E123" s="14"/>
      <c r="F123" s="14"/>
      <c r="G123" s="14"/>
      <c r="H123" s="14"/>
      <c r="I123" s="14"/>
      <c r="J123" s="64"/>
      <c r="K123" s="64"/>
      <c r="L123" s="64"/>
      <c r="M123" s="64"/>
      <c r="N123" s="64"/>
      <c r="O123" s="64"/>
    </row>
    <row r="124" spans="1:15">
      <c r="B124" s="1" t="s">
        <v>127</v>
      </c>
      <c r="C124" s="96">
        <v>2.7</v>
      </c>
      <c r="D124" s="19" t="s">
        <v>99</v>
      </c>
      <c r="H124" s="64"/>
      <c r="I124" s="64"/>
    </row>
    <row r="125" spans="1:15">
      <c r="B125" s="53" t="s">
        <v>128</v>
      </c>
      <c r="C125" s="54">
        <f>(2*Vo/4-1)*C124</f>
        <v>14.175000000000001</v>
      </c>
      <c r="D125" s="19" t="s">
        <v>99</v>
      </c>
    </row>
    <row r="126" spans="1:15">
      <c r="A126" s="65"/>
      <c r="B126" s="1" t="s">
        <v>129</v>
      </c>
      <c r="C126" s="96">
        <v>15</v>
      </c>
      <c r="D126" s="19" t="s">
        <v>99</v>
      </c>
    </row>
    <row r="127" spans="1:15">
      <c r="A127" s="65"/>
      <c r="B127" s="53" t="s">
        <v>130</v>
      </c>
      <c r="C127" s="54">
        <f>100/C124/C126*(C124+C126)</f>
        <v>43.703703703703702</v>
      </c>
      <c r="D127" s="19" t="s">
        <v>118</v>
      </c>
      <c r="N127" s="64"/>
      <c r="O127" s="64"/>
    </row>
    <row r="128" spans="1:15">
      <c r="A128" s="65"/>
      <c r="H128" s="64"/>
      <c r="I128" s="64"/>
      <c r="J128" s="64"/>
      <c r="K128" s="64"/>
      <c r="L128" s="64"/>
      <c r="M128" s="64"/>
    </row>
    <row r="129" spans="1:21">
      <c r="A129" s="65"/>
    </row>
    <row r="130" spans="1:21">
      <c r="A130" s="65"/>
      <c r="G130" s="65"/>
      <c r="I130" s="64"/>
    </row>
    <row r="131" spans="1:21">
      <c r="A131" s="65"/>
      <c r="F131" s="65"/>
      <c r="G131" s="65"/>
      <c r="N131" s="64"/>
    </row>
    <row r="132" spans="1:21">
      <c r="A132" s="65"/>
      <c r="F132" s="65"/>
      <c r="G132" s="65"/>
    </row>
    <row r="133" spans="1:21">
      <c r="A133" s="65"/>
      <c r="F133" s="65"/>
      <c r="G133" s="65"/>
    </row>
    <row r="134" spans="1:21">
      <c r="A134" s="65"/>
      <c r="F134" s="65"/>
      <c r="G134" s="65"/>
      <c r="I134" s="64"/>
    </row>
    <row r="135" spans="1:21">
      <c r="F135" s="65"/>
      <c r="G135" s="65"/>
      <c r="U135" s="64"/>
    </row>
    <row r="136" spans="1:21">
      <c r="A136" s="65"/>
    </row>
    <row r="137" spans="1:21">
      <c r="A137" s="65"/>
      <c r="B137" s="65"/>
      <c r="C137" s="65"/>
      <c r="D137" s="65"/>
      <c r="E137" s="65"/>
    </row>
    <row r="138" spans="1:21">
      <c r="A138" s="65"/>
      <c r="B138" s="65"/>
      <c r="C138" s="65"/>
      <c r="D138" s="65"/>
      <c r="E138" s="65"/>
    </row>
    <row r="139" spans="1:21">
      <c r="A139" s="65"/>
      <c r="B139" s="65"/>
      <c r="C139" s="65"/>
      <c r="D139" s="65"/>
      <c r="E139" s="65"/>
    </row>
    <row r="140" spans="1:21">
      <c r="A140" s="65"/>
      <c r="B140" s="65"/>
      <c r="C140" s="65"/>
      <c r="D140" s="65"/>
      <c r="E140" s="65"/>
    </row>
    <row r="141" spans="1:21">
      <c r="A141" s="65"/>
      <c r="B141" s="65"/>
      <c r="C141" s="65"/>
      <c r="D141" s="65"/>
      <c r="E141" s="65"/>
    </row>
    <row r="142" spans="1:21">
      <c r="A142" s="65"/>
      <c r="B142" s="65"/>
      <c r="C142" s="65"/>
      <c r="D142" s="65"/>
      <c r="E142" s="65"/>
      <c r="F142" s="65"/>
      <c r="G142" s="65"/>
    </row>
    <row r="143" spans="1:21">
      <c r="A143" s="65"/>
      <c r="B143" s="65"/>
      <c r="C143" s="65"/>
      <c r="D143" s="65"/>
      <c r="E143" s="65"/>
      <c r="F143" s="65"/>
      <c r="G143" s="65"/>
    </row>
    <row r="144" spans="1:21">
      <c r="A144" s="65"/>
      <c r="B144" s="65"/>
      <c r="C144" s="65"/>
      <c r="D144" s="65"/>
      <c r="E144" s="65"/>
      <c r="F144" s="65"/>
      <c r="G144" s="65"/>
    </row>
    <row r="145" spans="1:7">
      <c r="A145" s="65"/>
      <c r="B145" s="65"/>
      <c r="C145" s="65"/>
      <c r="D145" s="65"/>
      <c r="E145" s="65"/>
      <c r="F145" s="65"/>
      <c r="G145" s="65"/>
    </row>
    <row r="146" spans="1:7">
      <c r="A146" s="65"/>
      <c r="B146" s="65"/>
      <c r="C146" s="65"/>
      <c r="D146" s="65"/>
      <c r="E146" s="65"/>
      <c r="F146" s="65"/>
      <c r="G146" s="65"/>
    </row>
    <row r="147" spans="1:7">
      <c r="A147" s="65"/>
      <c r="B147" s="65"/>
      <c r="C147" s="65"/>
      <c r="D147" s="65"/>
      <c r="E147" s="65"/>
      <c r="F147" s="65"/>
      <c r="G147" s="65"/>
    </row>
    <row r="148" spans="1:7">
      <c r="A148" s="65"/>
      <c r="B148" s="65"/>
      <c r="C148" s="65"/>
      <c r="D148" s="65"/>
      <c r="E148" s="65"/>
      <c r="F148" s="65"/>
      <c r="G148" s="65"/>
    </row>
    <row r="149" spans="1:7">
      <c r="A149" s="65"/>
      <c r="B149" s="65"/>
      <c r="C149" s="65"/>
      <c r="D149" s="65"/>
      <c r="E149" s="65"/>
      <c r="F149" s="65"/>
      <c r="G149" s="65"/>
    </row>
    <row r="150" spans="1:7">
      <c r="A150" s="65"/>
      <c r="B150" s="65"/>
      <c r="C150" s="65"/>
      <c r="D150" s="65"/>
      <c r="E150" s="65"/>
      <c r="F150" s="65"/>
      <c r="G150" s="65"/>
    </row>
    <row r="151" spans="1:7">
      <c r="A151" s="65"/>
      <c r="B151" s="65"/>
      <c r="C151" s="65"/>
      <c r="D151" s="65"/>
      <c r="E151" s="65"/>
      <c r="F151" s="65"/>
      <c r="G151" s="65"/>
    </row>
    <row r="152" spans="1:7">
      <c r="A152" s="65"/>
      <c r="B152" s="65"/>
      <c r="C152" s="65"/>
      <c r="D152" s="65"/>
      <c r="E152" s="65"/>
      <c r="F152" s="65"/>
      <c r="G152" s="65"/>
    </row>
    <row r="153" spans="1:7">
      <c r="A153" s="65"/>
      <c r="B153" s="65"/>
      <c r="C153" s="65"/>
      <c r="D153" s="65"/>
      <c r="E153" s="65"/>
      <c r="F153" s="65"/>
      <c r="G153" s="65"/>
    </row>
    <row r="154" spans="1:7">
      <c r="A154" s="65"/>
      <c r="B154" s="65"/>
      <c r="C154" s="65"/>
      <c r="D154" s="65"/>
      <c r="E154" s="65"/>
      <c r="F154" s="65"/>
      <c r="G154" s="65"/>
    </row>
    <row r="155" spans="1:7">
      <c r="A155" s="65"/>
      <c r="B155" s="65"/>
      <c r="C155" s="65"/>
      <c r="D155" s="65"/>
      <c r="E155" s="65"/>
      <c r="F155" s="65"/>
      <c r="G155" s="65"/>
    </row>
    <row r="156" spans="1:7">
      <c r="A156" s="65"/>
      <c r="B156" s="65"/>
      <c r="C156" s="65"/>
      <c r="D156" s="65"/>
      <c r="E156" s="65"/>
      <c r="F156" s="65"/>
      <c r="G156" s="65"/>
    </row>
    <row r="157" spans="1:7">
      <c r="A157" s="65"/>
      <c r="B157" s="65"/>
      <c r="C157" s="65"/>
      <c r="D157" s="65"/>
      <c r="E157" s="65"/>
      <c r="F157" s="65"/>
      <c r="G157" s="65"/>
    </row>
    <row r="158" spans="1:7">
      <c r="A158" s="65"/>
      <c r="B158" s="65"/>
      <c r="C158" s="65"/>
      <c r="D158" s="65"/>
      <c r="E158" s="65"/>
      <c r="F158" s="65"/>
      <c r="G158" s="65"/>
    </row>
    <row r="159" spans="1:7">
      <c r="A159" s="65"/>
      <c r="B159" s="65"/>
      <c r="C159" s="65"/>
      <c r="D159" s="65"/>
      <c r="E159" s="65"/>
      <c r="F159" s="65"/>
      <c r="G159" s="65"/>
    </row>
    <row r="160" spans="1:7">
      <c r="A160" s="65"/>
      <c r="B160" s="65"/>
      <c r="C160" s="65"/>
      <c r="D160" s="65"/>
      <c r="E160" s="65"/>
      <c r="F160" s="65"/>
      <c r="G160" s="65"/>
    </row>
    <row r="161" spans="1:7">
      <c r="A161" s="65"/>
      <c r="B161" s="65"/>
      <c r="C161" s="65"/>
      <c r="D161" s="65"/>
      <c r="E161" s="65"/>
      <c r="F161" s="65"/>
      <c r="G161" s="65"/>
    </row>
    <row r="162" spans="1:7">
      <c r="A162" s="65"/>
      <c r="B162" s="65"/>
      <c r="C162" s="65"/>
      <c r="D162" s="65"/>
      <c r="E162" s="65"/>
      <c r="F162" s="65"/>
      <c r="G162" s="65"/>
    </row>
    <row r="163" spans="1:7">
      <c r="A163" s="65"/>
      <c r="B163" s="65"/>
      <c r="C163" s="65"/>
      <c r="D163" s="65"/>
      <c r="E163" s="65"/>
      <c r="F163" s="65"/>
      <c r="G163" s="65"/>
    </row>
    <row r="164" spans="1:7">
      <c r="A164" s="65"/>
      <c r="B164" s="65"/>
      <c r="C164" s="65"/>
      <c r="D164" s="65"/>
      <c r="E164" s="65"/>
      <c r="F164" s="65"/>
      <c r="G164" s="65"/>
    </row>
    <row r="165" spans="1:7">
      <c r="A165" s="65"/>
      <c r="B165" s="65"/>
      <c r="C165" s="65"/>
      <c r="D165" s="65"/>
      <c r="E165" s="65"/>
      <c r="F165" s="65"/>
      <c r="G165" s="65"/>
    </row>
    <row r="166" spans="1:7">
      <c r="A166" s="65"/>
      <c r="B166" s="65"/>
      <c r="C166" s="65"/>
      <c r="D166" s="65"/>
      <c r="E166" s="65"/>
      <c r="F166" s="65"/>
      <c r="G166" s="65"/>
    </row>
    <row r="167" spans="1:7">
      <c r="A167" s="65"/>
      <c r="B167" s="65"/>
      <c r="C167" s="65"/>
      <c r="D167" s="65"/>
      <c r="E167" s="65"/>
      <c r="F167" s="65"/>
      <c r="G167" s="65"/>
    </row>
    <row r="168" spans="1:7">
      <c r="A168" s="65"/>
      <c r="B168" s="65"/>
      <c r="C168" s="65"/>
      <c r="D168" s="65"/>
      <c r="E168" s="65"/>
      <c r="F168" s="65"/>
      <c r="G168" s="65"/>
    </row>
    <row r="169" spans="1:7">
      <c r="A169" s="65"/>
      <c r="B169" s="65"/>
      <c r="C169" s="65"/>
      <c r="D169" s="65"/>
      <c r="E169" s="65"/>
      <c r="F169" s="65"/>
      <c r="G169" s="65"/>
    </row>
    <row r="170" spans="1:7">
      <c r="A170" s="65"/>
      <c r="B170" s="65"/>
      <c r="C170" s="65"/>
      <c r="D170" s="65"/>
      <c r="E170" s="65"/>
      <c r="F170" s="65"/>
      <c r="G170" s="65"/>
    </row>
    <row r="171" spans="1:7">
      <c r="A171" s="65"/>
      <c r="B171" s="65"/>
      <c r="C171" s="65"/>
      <c r="D171" s="65"/>
      <c r="E171" s="65"/>
      <c r="F171" s="65"/>
      <c r="G171" s="65"/>
    </row>
    <row r="172" spans="1:7">
      <c r="A172" s="65"/>
      <c r="B172" s="65"/>
      <c r="C172" s="65"/>
      <c r="D172" s="65"/>
      <c r="E172" s="65"/>
      <c r="F172" s="65"/>
      <c r="G172" s="65"/>
    </row>
    <row r="173" spans="1:7">
      <c r="A173" s="65"/>
      <c r="B173" s="65"/>
      <c r="C173" s="65"/>
      <c r="D173" s="65"/>
      <c r="E173" s="65"/>
      <c r="F173" s="65"/>
      <c r="G173" s="65"/>
    </row>
    <row r="174" spans="1:7">
      <c r="A174" s="65"/>
      <c r="B174" s="65"/>
      <c r="C174" s="65"/>
      <c r="D174" s="65"/>
      <c r="E174" s="65"/>
      <c r="F174" s="65"/>
      <c r="G174" s="65"/>
    </row>
    <row r="175" spans="1:7">
      <c r="A175" s="65"/>
      <c r="B175" s="65"/>
      <c r="C175" s="65"/>
      <c r="D175" s="65"/>
      <c r="E175" s="65"/>
      <c r="F175" s="65"/>
      <c r="G175" s="65"/>
    </row>
    <row r="176" spans="1:7">
      <c r="A176" s="65"/>
      <c r="B176" s="65"/>
      <c r="C176" s="65"/>
      <c r="D176" s="65"/>
      <c r="E176" s="65"/>
      <c r="F176" s="65"/>
      <c r="G176" s="65"/>
    </row>
    <row r="177" spans="1:7">
      <c r="A177" s="65"/>
      <c r="B177" s="65"/>
      <c r="C177" s="65"/>
      <c r="D177" s="65"/>
      <c r="E177" s="65"/>
      <c r="F177" s="65"/>
      <c r="G177" s="65"/>
    </row>
    <row r="178" spans="1:7">
      <c r="A178" s="65"/>
      <c r="B178" s="65"/>
      <c r="C178" s="65"/>
      <c r="D178" s="65"/>
      <c r="E178" s="65"/>
      <c r="F178" s="65"/>
      <c r="G178" s="65"/>
    </row>
    <row r="179" spans="1:7">
      <c r="A179" s="65"/>
      <c r="B179" s="65"/>
      <c r="C179" s="65"/>
      <c r="D179" s="65"/>
      <c r="E179" s="65"/>
      <c r="F179" s="65"/>
      <c r="G179" s="65"/>
    </row>
    <row r="180" spans="1:7">
      <c r="A180" s="65"/>
      <c r="B180" s="65"/>
      <c r="C180" s="65"/>
      <c r="D180" s="65"/>
      <c r="E180" s="65"/>
      <c r="F180" s="65"/>
      <c r="G180" s="65"/>
    </row>
    <row r="181" spans="1:7">
      <c r="A181" s="65"/>
      <c r="B181" s="65"/>
      <c r="C181" s="65"/>
      <c r="D181" s="65"/>
      <c r="E181" s="65"/>
      <c r="F181" s="65"/>
      <c r="G181" s="65"/>
    </row>
    <row r="182" spans="1:7">
      <c r="A182" s="65"/>
      <c r="B182" s="65"/>
      <c r="C182" s="65"/>
      <c r="D182" s="65"/>
      <c r="E182" s="65"/>
      <c r="F182" s="65"/>
      <c r="G182" s="65"/>
    </row>
    <row r="183" spans="1:7">
      <c r="A183" s="65"/>
      <c r="B183" s="65"/>
      <c r="C183" s="65"/>
      <c r="D183" s="65"/>
      <c r="E183" s="65"/>
      <c r="F183" s="65"/>
      <c r="G183" s="65"/>
    </row>
    <row r="184" spans="1:7">
      <c r="A184" s="65"/>
      <c r="B184" s="65"/>
      <c r="C184" s="65"/>
      <c r="D184" s="65"/>
      <c r="E184" s="65"/>
      <c r="F184" s="65"/>
      <c r="G184" s="65"/>
    </row>
    <row r="187" spans="1:7">
      <c r="C187" s="65"/>
      <c r="D187" s="65"/>
      <c r="E187" s="65"/>
      <c r="F187" s="65"/>
      <c r="G187" s="65"/>
    </row>
    <row r="189" spans="1:7">
      <c r="B189" s="65"/>
    </row>
  </sheetData>
  <sheetProtection password="CA9C" sheet="1"/>
  <phoneticPr fontId="23" type="noConversion"/>
  <pageMargins left="0.7" right="0.7" top="0.75" bottom="0.75" header="0.3" footer="0.3"/>
  <pageSetup orientation="portrait" r:id="rId1"/>
  <drawing r:id="rId2"/>
  <legacyDrawing r:id="rId3"/>
  <oleObjects>
    <oleObject progId="Visio.Drawing.6" shapeId="1025" r:id="rId4"/>
    <oleObject progId="Visio.Drawing.11" shapeId="1026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3:AI110"/>
  <sheetViews>
    <sheetView zoomScale="70" zoomScaleNormal="70" workbookViewId="0">
      <selection sqref="A1:AJ54"/>
    </sheetView>
  </sheetViews>
  <sheetFormatPr defaultRowHeight="15"/>
  <sheetData>
    <row r="3" spans="1:35">
      <c r="A3" s="68" t="s">
        <v>131</v>
      </c>
      <c r="B3" s="68"/>
      <c r="C3" s="68"/>
      <c r="D3" s="68" t="s">
        <v>132</v>
      </c>
      <c r="E3" s="68" t="s">
        <v>133</v>
      </c>
      <c r="F3" s="68" t="s">
        <v>134</v>
      </c>
      <c r="G3" s="68" t="s">
        <v>135</v>
      </c>
      <c r="H3" s="68" t="s">
        <v>136</v>
      </c>
      <c r="I3" s="68" t="s">
        <v>137</v>
      </c>
      <c r="J3" s="68" t="s">
        <v>138</v>
      </c>
      <c r="K3" s="68" t="s">
        <v>139</v>
      </c>
      <c r="L3" s="68" t="s">
        <v>140</v>
      </c>
      <c r="M3" s="68" t="s">
        <v>141</v>
      </c>
      <c r="N3" s="68" t="s">
        <v>142</v>
      </c>
      <c r="O3" s="68" t="s">
        <v>143</v>
      </c>
      <c r="P3" s="68" t="s">
        <v>173</v>
      </c>
      <c r="Q3" s="68" t="s">
        <v>174</v>
      </c>
      <c r="S3" s="68" t="s">
        <v>144</v>
      </c>
      <c r="T3" s="68"/>
      <c r="U3" s="68"/>
      <c r="V3" s="68" t="s">
        <v>145</v>
      </c>
      <c r="W3" s="68" t="s">
        <v>146</v>
      </c>
      <c r="X3" s="68" t="s">
        <v>147</v>
      </c>
      <c r="Y3" s="68" t="s">
        <v>148</v>
      </c>
      <c r="Z3" s="68" t="s">
        <v>136</v>
      </c>
      <c r="AA3" s="68" t="s">
        <v>137</v>
      </c>
      <c r="AB3" s="68" t="s">
        <v>149</v>
      </c>
      <c r="AC3" s="68" t="s">
        <v>150</v>
      </c>
      <c r="AD3" s="68" t="s">
        <v>140</v>
      </c>
      <c r="AE3" s="68" t="s">
        <v>141</v>
      </c>
      <c r="AF3" s="68" t="s">
        <v>142</v>
      </c>
      <c r="AG3" s="68" t="s">
        <v>143</v>
      </c>
      <c r="AH3" s="68" t="s">
        <v>173</v>
      </c>
      <c r="AI3" s="68" t="s">
        <v>174</v>
      </c>
    </row>
    <row r="5" spans="1:35">
      <c r="A5" s="69">
        <v>1.2</v>
      </c>
      <c r="B5" s="69"/>
      <c r="C5" s="69"/>
      <c r="D5" s="69">
        <v>1.373</v>
      </c>
      <c r="E5" s="69">
        <v>1.2789999999999999</v>
      </c>
      <c r="F5" s="69">
        <v>1.2210000000000001</v>
      </c>
      <c r="G5" s="69">
        <v>1.1830000000000001</v>
      </c>
      <c r="H5" s="69">
        <v>1.1559999999999999</v>
      </c>
      <c r="I5" s="69">
        <v>1.135</v>
      </c>
      <c r="J5" s="69">
        <v>1.107</v>
      </c>
      <c r="K5" s="69">
        <v>1.0880000000000001</v>
      </c>
      <c r="L5" s="69">
        <v>1.075</v>
      </c>
      <c r="M5" s="69">
        <v>1.0649999999999999</v>
      </c>
      <c r="N5" s="69">
        <v>1.0580000000000001</v>
      </c>
      <c r="O5" s="69">
        <v>1.0469999999999999</v>
      </c>
      <c r="P5" s="69">
        <v>1.04</v>
      </c>
      <c r="Q5" s="69">
        <v>1.034</v>
      </c>
      <c r="S5" s="69">
        <v>1.2</v>
      </c>
      <c r="T5" s="69"/>
      <c r="U5" s="69"/>
      <c r="V5" s="69">
        <v>1.0640000000000001</v>
      </c>
      <c r="W5" s="69">
        <v>1.044</v>
      </c>
      <c r="X5" s="69">
        <v>1.032</v>
      </c>
      <c r="Y5" s="69">
        <v>1.024</v>
      </c>
      <c r="Z5" s="69">
        <v>1.0189999999999999</v>
      </c>
      <c r="AA5" s="69">
        <v>1.0149999999999999</v>
      </c>
      <c r="AB5" s="69">
        <v>1.0109999999999999</v>
      </c>
      <c r="AC5" s="69">
        <v>1.008</v>
      </c>
      <c r="AD5" s="69">
        <v>1.006</v>
      </c>
      <c r="AE5" s="69">
        <v>1.004</v>
      </c>
      <c r="AF5" s="69">
        <v>1.004</v>
      </c>
      <c r="AG5" s="69">
        <v>1.0029999999999999</v>
      </c>
      <c r="AH5" s="69">
        <v>1.002</v>
      </c>
      <c r="AI5" s="69">
        <v>1.0009999999999999</v>
      </c>
    </row>
    <row r="6" spans="1:35">
      <c r="A6" s="70">
        <v>1.1000000000000001</v>
      </c>
      <c r="B6" s="70"/>
      <c r="C6" s="70"/>
      <c r="D6" s="70">
        <v>1.391</v>
      </c>
      <c r="E6" s="70">
        <v>1.2909999999999999</v>
      </c>
      <c r="F6" s="70">
        <v>1.23</v>
      </c>
      <c r="G6" s="70">
        <v>1.1890000000000001</v>
      </c>
      <c r="H6" s="70">
        <v>1.1599999999999999</v>
      </c>
      <c r="I6" s="70">
        <v>1.139</v>
      </c>
      <c r="J6" s="70">
        <v>1.1100000000000001</v>
      </c>
      <c r="K6" s="70">
        <v>1.0900000000000001</v>
      </c>
      <c r="L6" s="70">
        <v>1.077</v>
      </c>
      <c r="M6" s="70">
        <v>1.0660000000000001</v>
      </c>
      <c r="N6" s="70">
        <v>1.0589999999999999</v>
      </c>
      <c r="O6" s="70">
        <v>1.048</v>
      </c>
      <c r="P6" s="70">
        <v>1.04</v>
      </c>
      <c r="Q6" s="70">
        <v>1.0349999999999999</v>
      </c>
      <c r="S6" s="70">
        <v>1.1000000000000001</v>
      </c>
      <c r="T6" s="70"/>
      <c r="U6" s="70"/>
      <c r="V6" s="70">
        <v>1.077</v>
      </c>
      <c r="W6" s="70">
        <v>1.054</v>
      </c>
      <c r="X6" s="70">
        <v>1.0389999999999999</v>
      </c>
      <c r="Y6" s="70">
        <v>1.03</v>
      </c>
      <c r="Z6" s="70">
        <v>1.0229999999999999</v>
      </c>
      <c r="AA6" s="70">
        <v>1.0189999999999999</v>
      </c>
      <c r="AB6" s="70">
        <v>1.0129999999999999</v>
      </c>
      <c r="AC6" s="70">
        <v>1.0089999999999999</v>
      </c>
      <c r="AD6" s="70">
        <v>1.0069999999999999</v>
      </c>
      <c r="AE6" s="70">
        <v>1.006</v>
      </c>
      <c r="AF6" s="70">
        <v>1.004</v>
      </c>
      <c r="AG6" s="70">
        <v>1.0029999999999999</v>
      </c>
      <c r="AH6" s="70">
        <v>1.002</v>
      </c>
      <c r="AI6" s="70">
        <v>1.002</v>
      </c>
    </row>
    <row r="7" spans="1:35">
      <c r="A7" s="69">
        <v>1</v>
      </c>
      <c r="B7" s="69"/>
      <c r="C7" s="69"/>
      <c r="D7" s="69">
        <v>1.4159999999999999</v>
      </c>
      <c r="E7" s="69">
        <v>1.3080000000000001</v>
      </c>
      <c r="F7" s="69">
        <v>1.2410000000000001</v>
      </c>
      <c r="G7" s="69">
        <v>1.198</v>
      </c>
      <c r="H7" s="69">
        <v>1.167</v>
      </c>
      <c r="I7" s="69">
        <v>1.1439999999999999</v>
      </c>
      <c r="J7" s="69">
        <v>1.1180000000000001</v>
      </c>
      <c r="K7" s="69">
        <v>1.093</v>
      </c>
      <c r="L7" s="69">
        <v>1.0780000000000001</v>
      </c>
      <c r="M7" s="69">
        <v>1.0680000000000001</v>
      </c>
      <c r="N7" s="69">
        <v>1.06</v>
      </c>
      <c r="O7" s="69">
        <v>1.048</v>
      </c>
      <c r="P7" s="69">
        <v>1.04</v>
      </c>
      <c r="Q7" s="69">
        <v>1.0349999999999999</v>
      </c>
      <c r="S7" s="69">
        <v>1</v>
      </c>
      <c r="T7" s="69"/>
      <c r="U7" s="69"/>
      <c r="V7" s="69">
        <v>1.097</v>
      </c>
      <c r="W7" s="69">
        <v>1.0680000000000001</v>
      </c>
      <c r="X7" s="69">
        <v>1.0489999999999999</v>
      </c>
      <c r="Y7" s="69">
        <v>1.0369999999999999</v>
      </c>
      <c r="Z7" s="69">
        <v>1.0289999999999999</v>
      </c>
      <c r="AA7" s="69">
        <v>1.0229999999999999</v>
      </c>
      <c r="AB7" s="69">
        <v>1.016</v>
      </c>
      <c r="AC7" s="69">
        <v>1.012</v>
      </c>
      <c r="AD7" s="69">
        <v>1.0089999999999999</v>
      </c>
      <c r="AE7" s="69">
        <v>1.0069999999999999</v>
      </c>
      <c r="AF7" s="69">
        <v>1.0049999999999999</v>
      </c>
      <c r="AG7" s="69">
        <v>1.004</v>
      </c>
      <c r="AH7" s="69">
        <v>1.0029999999999999</v>
      </c>
      <c r="AI7" s="69">
        <v>1.002</v>
      </c>
    </row>
    <row r="8" spans="1:35">
      <c r="A8" s="71">
        <v>0.9</v>
      </c>
      <c r="B8" s="71"/>
      <c r="C8" s="71"/>
      <c r="D8" s="71">
        <v>1.45</v>
      </c>
      <c r="E8" s="71">
        <v>1.331</v>
      </c>
      <c r="F8" s="71">
        <v>1.2589999999999999</v>
      </c>
      <c r="G8" s="71">
        <v>1.2110000000000001</v>
      </c>
      <c r="H8" s="71">
        <v>1.177</v>
      </c>
      <c r="I8" s="71">
        <v>1.1519999999999999</v>
      </c>
      <c r="J8" s="71">
        <v>1.1180000000000001</v>
      </c>
      <c r="K8" s="71">
        <v>1.0960000000000001</v>
      </c>
      <c r="L8" s="71">
        <v>1.081</v>
      </c>
      <c r="M8" s="71">
        <v>1.07</v>
      </c>
      <c r="N8" s="71">
        <v>1.0609999999999999</v>
      </c>
      <c r="O8" s="71">
        <v>1.0489999999999999</v>
      </c>
      <c r="P8" s="71">
        <v>1.0409999999999999</v>
      </c>
      <c r="Q8" s="71">
        <v>1.0349999999999999</v>
      </c>
      <c r="S8" s="71">
        <v>0.9</v>
      </c>
      <c r="T8" s="71"/>
      <c r="U8" s="71"/>
      <c r="V8" s="71">
        <v>1.123</v>
      </c>
      <c r="W8" s="71">
        <v>1.087</v>
      </c>
      <c r="X8" s="71">
        <v>1.0640000000000001</v>
      </c>
      <c r="Y8" s="71">
        <v>1.048</v>
      </c>
      <c r="Z8" s="71">
        <v>1.038</v>
      </c>
      <c r="AA8" s="71">
        <v>1.03</v>
      </c>
      <c r="AB8" s="71">
        <v>1.02</v>
      </c>
      <c r="AC8" s="71">
        <v>1.0149999999999999</v>
      </c>
      <c r="AD8" s="71">
        <v>1.0109999999999999</v>
      </c>
      <c r="AE8" s="71">
        <v>1.0089999999999999</v>
      </c>
      <c r="AF8" s="71">
        <v>1.0069999999999999</v>
      </c>
      <c r="AG8" s="71">
        <v>1.0049999999999999</v>
      </c>
      <c r="AH8" s="71">
        <v>1.0029999999999999</v>
      </c>
      <c r="AI8" s="71">
        <v>1.002</v>
      </c>
    </row>
    <row r="9" spans="1:35">
      <c r="A9" s="69">
        <v>0.8</v>
      </c>
      <c r="B9" s="69"/>
      <c r="C9" s="69"/>
      <c r="D9" s="69">
        <v>1.502</v>
      </c>
      <c r="E9" s="69">
        <v>1.3680000000000001</v>
      </c>
      <c r="F9" s="69">
        <v>1.2849999999999999</v>
      </c>
      <c r="G9" s="69">
        <v>1.23</v>
      </c>
      <c r="H9" s="69">
        <v>1.1919999999999999</v>
      </c>
      <c r="I9" s="69">
        <v>1.163</v>
      </c>
      <c r="J9" s="69">
        <v>1.125</v>
      </c>
      <c r="K9" s="69">
        <v>1.101</v>
      </c>
      <c r="L9" s="69">
        <v>1.085</v>
      </c>
      <c r="M9" s="69">
        <v>1.073</v>
      </c>
      <c r="N9" s="69">
        <v>1.0640000000000001</v>
      </c>
      <c r="O9" s="69">
        <v>1.0509999999999999</v>
      </c>
      <c r="P9" s="69">
        <v>1.042</v>
      </c>
      <c r="Q9" s="69">
        <v>1.036</v>
      </c>
      <c r="S9" s="69">
        <v>0.8</v>
      </c>
      <c r="T9" s="69"/>
      <c r="U9" s="69"/>
      <c r="V9" s="69">
        <v>1.163</v>
      </c>
      <c r="W9" s="69">
        <v>1.117</v>
      </c>
      <c r="X9" s="69">
        <v>1.0860000000000001</v>
      </c>
      <c r="Y9" s="69">
        <v>1.0649999999999999</v>
      </c>
      <c r="Z9" s="69">
        <v>1.0509999999999999</v>
      </c>
      <c r="AA9" s="69">
        <v>1.0409999999999999</v>
      </c>
      <c r="AB9" s="69">
        <v>1.0269999999999999</v>
      </c>
      <c r="AC9" s="69">
        <v>1.02</v>
      </c>
      <c r="AD9" s="69">
        <v>1.0149999999999999</v>
      </c>
      <c r="AE9" s="69">
        <v>1.0109999999999999</v>
      </c>
      <c r="AF9" s="69">
        <v>1.0089999999999999</v>
      </c>
      <c r="AG9" s="69">
        <v>1.006</v>
      </c>
      <c r="AH9" s="69">
        <v>1.004</v>
      </c>
      <c r="AI9" s="69">
        <v>1.0029999999999999</v>
      </c>
    </row>
    <row r="10" spans="1:35">
      <c r="A10" s="71">
        <v>0.7</v>
      </c>
      <c r="B10" s="71"/>
      <c r="C10" s="71"/>
      <c r="D10" s="71">
        <v>1.5820000000000001</v>
      </c>
      <c r="E10" s="71">
        <v>1.4259999999999999</v>
      </c>
      <c r="F10" s="71">
        <v>1.3280000000000001</v>
      </c>
      <c r="G10" s="71">
        <v>1.2629999999999999</v>
      </c>
      <c r="H10" s="71">
        <v>1.2170000000000001</v>
      </c>
      <c r="I10" s="71">
        <v>1.1830000000000001</v>
      </c>
      <c r="J10" s="71">
        <v>1.1379999999999999</v>
      </c>
      <c r="K10" s="71">
        <v>1.1100000000000001</v>
      </c>
      <c r="L10" s="71">
        <v>1.091</v>
      </c>
      <c r="M10" s="71">
        <v>1.077</v>
      </c>
      <c r="N10" s="71">
        <v>1.0669999999999999</v>
      </c>
      <c r="O10" s="71">
        <v>1.0529999999999999</v>
      </c>
      <c r="P10" s="69">
        <v>1.044</v>
      </c>
      <c r="Q10" s="69">
        <v>1.0369999999999999</v>
      </c>
      <c r="S10" s="71">
        <v>0.7</v>
      </c>
      <c r="T10" s="71"/>
      <c r="U10" s="71"/>
      <c r="V10" s="71">
        <v>1.2250000000000001</v>
      </c>
      <c r="W10" s="71">
        <v>1.1639999999999999</v>
      </c>
      <c r="X10" s="71">
        <v>1.123</v>
      </c>
      <c r="Y10" s="71">
        <v>1.0940000000000001</v>
      </c>
      <c r="Z10" s="71">
        <v>1.073</v>
      </c>
      <c r="AA10" s="71">
        <v>1.0580000000000001</v>
      </c>
      <c r="AB10" s="71">
        <v>1.0389999999999999</v>
      </c>
      <c r="AC10" s="71">
        <v>1.028</v>
      </c>
      <c r="AD10" s="71">
        <v>1.02</v>
      </c>
      <c r="AE10" s="71">
        <v>1.016</v>
      </c>
      <c r="AF10" s="71">
        <v>1.012</v>
      </c>
      <c r="AG10" s="71">
        <v>1.008</v>
      </c>
      <c r="AH10" s="71">
        <v>1.006</v>
      </c>
      <c r="AI10" s="69">
        <v>1.0049999999999999</v>
      </c>
    </row>
    <row r="11" spans="1:35">
      <c r="A11" s="69">
        <v>0.6</v>
      </c>
      <c r="B11" s="69"/>
      <c r="C11" s="69"/>
      <c r="D11" s="69">
        <v>1.7070000000000001</v>
      </c>
      <c r="E11" s="69">
        <v>1.5229999999999999</v>
      </c>
      <c r="F11" s="69">
        <v>1.4039999999999999</v>
      </c>
      <c r="G11" s="69">
        <v>1.3220000000000001</v>
      </c>
      <c r="H11" s="69">
        <v>1.2629999999999999</v>
      </c>
      <c r="I11" s="69">
        <v>1.22</v>
      </c>
      <c r="J11" s="69">
        <v>1.1619999999999999</v>
      </c>
      <c r="K11" s="69">
        <v>1.1259999999999999</v>
      </c>
      <c r="L11" s="69">
        <v>1.1020000000000001</v>
      </c>
      <c r="M11" s="69">
        <v>1.0860000000000001</v>
      </c>
      <c r="N11" s="69">
        <v>1.0740000000000001</v>
      </c>
      <c r="O11" s="69">
        <v>1.0569999999999999</v>
      </c>
      <c r="P11" s="69">
        <v>1.0469999999999999</v>
      </c>
      <c r="Q11" s="69">
        <v>1.0389999999999999</v>
      </c>
      <c r="S11" s="69">
        <v>0.6</v>
      </c>
      <c r="T11" s="69"/>
      <c r="U11" s="69"/>
      <c r="V11" s="69">
        <v>1.3220000000000001</v>
      </c>
      <c r="W11" s="69">
        <v>1.2430000000000001</v>
      </c>
      <c r="X11" s="69">
        <v>1.1859999999999999</v>
      </c>
      <c r="Y11" s="69">
        <v>1.145</v>
      </c>
      <c r="Z11" s="69">
        <v>1.1140000000000001</v>
      </c>
      <c r="AA11" s="69">
        <v>1.091</v>
      </c>
      <c r="AB11" s="69">
        <v>1.0609999999999999</v>
      </c>
      <c r="AC11" s="69">
        <v>1.042</v>
      </c>
      <c r="AD11" s="69">
        <v>1.0309999999999999</v>
      </c>
      <c r="AE11" s="69">
        <v>1.024</v>
      </c>
      <c r="AF11" s="69">
        <v>1.0189999999999999</v>
      </c>
      <c r="AG11" s="69">
        <v>1.012</v>
      </c>
      <c r="AH11" s="69">
        <v>1.008</v>
      </c>
      <c r="AI11" s="69">
        <v>1.006</v>
      </c>
    </row>
    <row r="12" spans="1:35">
      <c r="A12" s="71">
        <v>0.5</v>
      </c>
      <c r="B12" s="71"/>
      <c r="C12" s="71"/>
      <c r="D12" s="71">
        <v>1.9119999999999999</v>
      </c>
      <c r="E12" s="71">
        <v>1.6879999999999999</v>
      </c>
      <c r="F12" s="71">
        <v>1.54</v>
      </c>
      <c r="G12" s="71">
        <v>1.4350000000000001</v>
      </c>
      <c r="H12" s="71">
        <v>1.3580000000000001</v>
      </c>
      <c r="I12" s="71">
        <v>1.298</v>
      </c>
      <c r="J12" s="71">
        <v>1.216</v>
      </c>
      <c r="K12" s="71">
        <v>1.163</v>
      </c>
      <c r="L12" s="71">
        <v>1.1279999999999999</v>
      </c>
      <c r="M12" s="71">
        <v>1.1040000000000001</v>
      </c>
      <c r="N12" s="71">
        <v>1.0880000000000001</v>
      </c>
      <c r="O12" s="71">
        <v>1.0660000000000001</v>
      </c>
      <c r="P12" s="69">
        <v>1.052</v>
      </c>
      <c r="Q12" s="69">
        <v>1.0429999999999999</v>
      </c>
      <c r="S12" s="71">
        <v>0.5</v>
      </c>
      <c r="T12" s="71"/>
      <c r="U12" s="71"/>
      <c r="V12" s="71">
        <v>1.4810000000000001</v>
      </c>
      <c r="W12" s="71">
        <v>1.3779999999999999</v>
      </c>
      <c r="X12" s="71">
        <v>1.3009999999999999</v>
      </c>
      <c r="Y12" s="71">
        <v>1.2430000000000001</v>
      </c>
      <c r="Z12" s="71">
        <v>1.1970000000000001</v>
      </c>
      <c r="AA12" s="71">
        <v>1.161</v>
      </c>
      <c r="AB12" s="71">
        <v>1.1000000000000001</v>
      </c>
      <c r="AC12" s="71">
        <v>1.077</v>
      </c>
      <c r="AD12" s="71">
        <v>1.0549999999999999</v>
      </c>
      <c r="AE12" s="71">
        <v>1.0409999999999999</v>
      </c>
      <c r="AF12" s="71">
        <v>1.032</v>
      </c>
      <c r="AG12" s="71">
        <v>1.02</v>
      </c>
      <c r="AH12" s="71">
        <v>1.01</v>
      </c>
      <c r="AI12" s="69">
        <v>1.01</v>
      </c>
    </row>
    <row r="13" spans="1:35">
      <c r="A13" s="69">
        <v>0.4</v>
      </c>
      <c r="B13" s="69"/>
      <c r="C13" s="69"/>
      <c r="D13" s="69">
        <v>2.2559999999999998</v>
      </c>
      <c r="E13" s="69">
        <v>1.976</v>
      </c>
      <c r="F13" s="69">
        <v>1.788</v>
      </c>
      <c r="G13" s="69">
        <v>1.6519999999999999</v>
      </c>
      <c r="H13" s="69">
        <v>1.548</v>
      </c>
      <c r="I13" s="69">
        <v>1.4670000000000001</v>
      </c>
      <c r="J13" s="69">
        <v>1.3480000000000001</v>
      </c>
      <c r="K13" s="69">
        <v>1.2649999999999999</v>
      </c>
      <c r="L13" s="69">
        <v>1.206</v>
      </c>
      <c r="M13" s="69">
        <v>1.163</v>
      </c>
      <c r="N13" s="69">
        <v>1.131</v>
      </c>
      <c r="O13" s="69">
        <v>1.091</v>
      </c>
      <c r="P13" s="69">
        <v>1.0680000000000001</v>
      </c>
      <c r="Q13" s="69">
        <v>1.054</v>
      </c>
      <c r="S13" s="69">
        <v>0.4</v>
      </c>
      <c r="T13" s="69"/>
      <c r="U13" s="69"/>
      <c r="V13" s="69">
        <v>1.748</v>
      </c>
      <c r="W13" s="69">
        <v>1.6140000000000001</v>
      </c>
      <c r="X13" s="69">
        <v>1.5109999999999999</v>
      </c>
      <c r="Y13" s="69">
        <v>1.431</v>
      </c>
      <c r="Z13" s="69">
        <v>1.3660000000000001</v>
      </c>
      <c r="AA13" s="69">
        <v>1.3120000000000001</v>
      </c>
      <c r="AB13" s="69">
        <v>1.23</v>
      </c>
      <c r="AC13" s="69">
        <v>1.171</v>
      </c>
      <c r="AD13" s="69">
        <v>1.1279999999999999</v>
      </c>
      <c r="AE13" s="69">
        <v>1.0960000000000001</v>
      </c>
      <c r="AF13" s="69">
        <v>1.073</v>
      </c>
      <c r="AG13" s="69">
        <v>1.044</v>
      </c>
      <c r="AH13" s="69">
        <v>1.0289999999999999</v>
      </c>
      <c r="AI13" s="69">
        <v>1.02</v>
      </c>
    </row>
    <row r="14" spans="1:35">
      <c r="A14" s="71">
        <v>0.3</v>
      </c>
      <c r="B14" s="71"/>
      <c r="C14" s="71"/>
      <c r="D14" s="71">
        <v>2.8759999999999999</v>
      </c>
      <c r="E14" s="71">
        <v>2.5070000000000001</v>
      </c>
      <c r="F14" s="71">
        <v>2.2559999999999998</v>
      </c>
      <c r="G14" s="71">
        <v>2.0710000000000002</v>
      </c>
      <c r="H14" s="71">
        <v>1.93</v>
      </c>
      <c r="I14" s="71">
        <v>1.8160000000000001</v>
      </c>
      <c r="J14" s="71">
        <v>1.6459999999999999</v>
      </c>
      <c r="K14" s="71">
        <v>1.5229999999999999</v>
      </c>
      <c r="L14" s="71">
        <v>1.43</v>
      </c>
      <c r="M14" s="71">
        <v>1.357</v>
      </c>
      <c r="N14" s="71">
        <v>1.2989999999999999</v>
      </c>
      <c r="O14" s="71">
        <v>1.212</v>
      </c>
      <c r="P14" s="69">
        <v>1.1519999999999999</v>
      </c>
      <c r="Q14" s="69">
        <v>1.1100000000000001</v>
      </c>
      <c r="S14" s="71">
        <v>0.3</v>
      </c>
      <c r="T14" s="71"/>
      <c r="U14" s="71"/>
      <c r="V14" s="71">
        <v>2.2280000000000002</v>
      </c>
      <c r="W14" s="71">
        <v>2.0470000000000002</v>
      </c>
      <c r="X14" s="71">
        <v>1.9059999999999999</v>
      </c>
      <c r="Y14" s="71">
        <v>1.794</v>
      </c>
      <c r="Z14" s="71">
        <v>1.702</v>
      </c>
      <c r="AA14" s="71">
        <v>1.6240000000000001</v>
      </c>
      <c r="AB14" s="71">
        <v>1.5029999999999999</v>
      </c>
      <c r="AC14" s="71">
        <v>1.41</v>
      </c>
      <c r="AD14" s="71">
        <v>1.3380000000000001</v>
      </c>
      <c r="AE14" s="71">
        <v>1.2789999999999999</v>
      </c>
      <c r="AF14" s="71">
        <v>1.232</v>
      </c>
      <c r="AG14" s="71">
        <v>1.1599999999999999</v>
      </c>
      <c r="AH14" s="71">
        <v>1.1100000000000001</v>
      </c>
      <c r="AI14" s="69">
        <v>1.075</v>
      </c>
    </row>
    <row r="15" spans="1:35">
      <c r="A15" s="69">
        <v>0.2</v>
      </c>
      <c r="B15" s="69"/>
      <c r="C15" s="69"/>
      <c r="D15" s="69">
        <v>4.1829999999999998</v>
      </c>
      <c r="E15" s="69">
        <v>3.629</v>
      </c>
      <c r="F15" s="69">
        <v>3.2549999999999999</v>
      </c>
      <c r="G15" s="69">
        <v>2.9769999999999999</v>
      </c>
      <c r="H15" s="69">
        <v>2.766</v>
      </c>
      <c r="I15" s="69">
        <v>2.5939999999999999</v>
      </c>
      <c r="J15" s="69">
        <v>2.3319999999999999</v>
      </c>
      <c r="K15" s="69">
        <v>2.14</v>
      </c>
      <c r="L15" s="69">
        <v>1.9930000000000001</v>
      </c>
      <c r="M15" s="69">
        <v>1.8740000000000001</v>
      </c>
      <c r="N15" s="69">
        <v>1.7769999999999999</v>
      </c>
      <c r="O15" s="69">
        <v>1.6259999999999999</v>
      </c>
      <c r="P15" s="69">
        <v>1.5129999999999999</v>
      </c>
      <c r="Q15" s="69">
        <v>1.4259999999999999</v>
      </c>
      <c r="S15" s="69">
        <v>0.2</v>
      </c>
      <c r="T15" s="69"/>
      <c r="U15" s="69"/>
      <c r="V15" s="69">
        <v>3.24</v>
      </c>
      <c r="W15" s="69">
        <v>2.9630000000000001</v>
      </c>
      <c r="X15" s="69">
        <v>2.7509999999999999</v>
      </c>
      <c r="Y15" s="69">
        <v>2.5779999999999998</v>
      </c>
      <c r="Z15" s="69">
        <v>2.4390000000000001</v>
      </c>
      <c r="AA15" s="69">
        <v>2.3199999999999998</v>
      </c>
      <c r="AB15" s="69">
        <v>2.129</v>
      </c>
      <c r="AC15" s="69">
        <v>1.982</v>
      </c>
      <c r="AD15" s="69">
        <v>1.8640000000000001</v>
      </c>
      <c r="AE15" s="69">
        <v>1.7669999999999999</v>
      </c>
      <c r="AF15" s="69">
        <v>1.6850000000000001</v>
      </c>
      <c r="AG15" s="69">
        <v>1.556</v>
      </c>
      <c r="AH15" s="69">
        <v>1.458</v>
      </c>
      <c r="AI15" s="69">
        <v>1.38</v>
      </c>
    </row>
    <row r="16" spans="1:35">
      <c r="A16" s="71">
        <v>0.1</v>
      </c>
      <c r="D16" s="71">
        <v>8.2149999999999999</v>
      </c>
      <c r="E16" s="71">
        <v>7.0659999999999998</v>
      </c>
      <c r="F16" s="71">
        <v>6.3579999999999997</v>
      </c>
      <c r="G16" s="71">
        <v>5.806</v>
      </c>
      <c r="H16" s="71">
        <v>5.3890000000000002</v>
      </c>
      <c r="I16" s="71">
        <v>5.0449999999999999</v>
      </c>
      <c r="J16" s="71">
        <v>4.508</v>
      </c>
      <c r="K16" s="71">
        <v>4.1289999999999996</v>
      </c>
      <c r="L16" s="71">
        <v>3.8279999999999998</v>
      </c>
      <c r="M16" s="71">
        <v>3.5830000000000002</v>
      </c>
      <c r="N16" s="71">
        <v>3.3839999999999999</v>
      </c>
      <c r="O16" s="71">
        <v>3.069</v>
      </c>
      <c r="P16" s="69">
        <v>2.8279999999999998</v>
      </c>
      <c r="Q16" s="69">
        <v>2.5110000000000001</v>
      </c>
      <c r="S16" s="71">
        <v>0.1</v>
      </c>
      <c r="V16" s="71">
        <v>6.3630000000000004</v>
      </c>
      <c r="W16">
        <v>5.7690000000000001</v>
      </c>
      <c r="X16" s="71">
        <v>5.3739999999999997</v>
      </c>
      <c r="Y16">
        <v>5.0279999999999996</v>
      </c>
      <c r="Z16" s="71">
        <v>4.7530000000000001</v>
      </c>
      <c r="AA16" s="71">
        <v>4.5119999999999996</v>
      </c>
      <c r="AB16" s="71">
        <v>4.1150000000000002</v>
      </c>
      <c r="AC16">
        <v>3.8220000000000001</v>
      </c>
      <c r="AD16" s="71">
        <v>3.58</v>
      </c>
      <c r="AE16" s="71">
        <v>3.3780000000000001</v>
      </c>
      <c r="AF16" s="71">
        <v>3.21</v>
      </c>
      <c r="AG16" s="71">
        <v>2.9390000000000001</v>
      </c>
      <c r="AH16" s="71">
        <v>2.7250000000000001</v>
      </c>
      <c r="AI16" s="69">
        <v>2.431</v>
      </c>
    </row>
    <row r="26" spans="1:29">
      <c r="A26" s="68" t="s">
        <v>131</v>
      </c>
      <c r="B26" s="68"/>
      <c r="C26" s="68"/>
      <c r="D26" s="68" t="s">
        <v>132</v>
      </c>
      <c r="E26" s="68" t="s">
        <v>133</v>
      </c>
      <c r="F26" s="68" t="s">
        <v>134</v>
      </c>
      <c r="G26" s="68" t="s">
        <v>135</v>
      </c>
      <c r="H26" s="68" t="s">
        <v>136</v>
      </c>
      <c r="I26" s="68" t="s">
        <v>137</v>
      </c>
      <c r="J26" s="68" t="s">
        <v>138</v>
      </c>
      <c r="K26" s="68" t="s">
        <v>139</v>
      </c>
      <c r="L26" s="68" t="s">
        <v>140</v>
      </c>
      <c r="M26" s="68" t="s">
        <v>141</v>
      </c>
      <c r="N26" s="68" t="s">
        <v>142</v>
      </c>
      <c r="O26" s="68" t="s">
        <v>143</v>
      </c>
      <c r="P26" s="68" t="s">
        <v>173</v>
      </c>
      <c r="Q26" s="68" t="s">
        <v>174</v>
      </c>
    </row>
    <row r="28" spans="1:29">
      <c r="A28" s="69">
        <v>1.2</v>
      </c>
      <c r="B28" s="69"/>
      <c r="C28" s="69"/>
      <c r="D28" s="69">
        <f t="shared" ref="D28:D39" si="0">IF(answer, D5,V5)</f>
        <v>1.373</v>
      </c>
      <c r="E28" s="69">
        <f t="shared" ref="E28:E39" si="1">IF(answer, E5,W5)</f>
        <v>1.2789999999999999</v>
      </c>
      <c r="F28" s="69">
        <f t="shared" ref="F28:F39" si="2">IF(answer, F5,X5)</f>
        <v>1.2210000000000001</v>
      </c>
      <c r="G28" s="69">
        <f t="shared" ref="G28:G39" si="3">IF(answer, G5,Y5)</f>
        <v>1.1830000000000001</v>
      </c>
      <c r="H28" s="69">
        <f t="shared" ref="H28:H39" si="4">IF(answer, H5,Z5)</f>
        <v>1.1559999999999999</v>
      </c>
      <c r="I28" s="69">
        <f t="shared" ref="I28:I39" si="5">IF(answer, I5,AA5)</f>
        <v>1.135</v>
      </c>
      <c r="J28" s="69">
        <f t="shared" ref="J28:J39" si="6">IF(answer, J5,AB5)</f>
        <v>1.107</v>
      </c>
      <c r="K28" s="69">
        <f t="shared" ref="K28:K39" si="7">IF(answer, K5,AC5)</f>
        <v>1.0880000000000001</v>
      </c>
      <c r="L28" s="69">
        <f t="shared" ref="L28:L39" si="8">IF(answer, L5,AD5)</f>
        <v>1.075</v>
      </c>
      <c r="M28" s="69">
        <f t="shared" ref="M28:M39" si="9">IF(answer, M5,AE5)</f>
        <v>1.0649999999999999</v>
      </c>
      <c r="N28" s="69">
        <f t="shared" ref="N28:N39" si="10">IF(answer, N5,AF5)</f>
        <v>1.0580000000000001</v>
      </c>
      <c r="O28" s="69">
        <f t="shared" ref="O28:O39" si="11">IF(answer,O5,AG5)</f>
        <v>1.0469999999999999</v>
      </c>
      <c r="P28" s="69">
        <f t="shared" ref="P28:P39" si="12">IF(answer,P5,AH5)</f>
        <v>1.04</v>
      </c>
      <c r="Q28" s="69">
        <f t="shared" ref="Q28:Q39" si="13">IF(answer,Q5,AI5)</f>
        <v>1.034</v>
      </c>
    </row>
    <row r="29" spans="1:29">
      <c r="A29" s="70">
        <v>1.1000000000000001</v>
      </c>
      <c r="B29" s="70"/>
      <c r="C29" s="70"/>
      <c r="D29" s="69">
        <f t="shared" si="0"/>
        <v>1.391</v>
      </c>
      <c r="E29" s="69">
        <f t="shared" si="1"/>
        <v>1.2909999999999999</v>
      </c>
      <c r="F29" s="69">
        <f t="shared" si="2"/>
        <v>1.23</v>
      </c>
      <c r="G29" s="69">
        <f t="shared" si="3"/>
        <v>1.1890000000000001</v>
      </c>
      <c r="H29" s="69">
        <f t="shared" si="4"/>
        <v>1.1599999999999999</v>
      </c>
      <c r="I29" s="69">
        <f t="shared" si="5"/>
        <v>1.139</v>
      </c>
      <c r="J29" s="69">
        <f t="shared" si="6"/>
        <v>1.1100000000000001</v>
      </c>
      <c r="K29" s="69">
        <f t="shared" si="7"/>
        <v>1.0900000000000001</v>
      </c>
      <c r="L29" s="69">
        <f t="shared" si="8"/>
        <v>1.077</v>
      </c>
      <c r="M29" s="69">
        <f t="shared" si="9"/>
        <v>1.0660000000000001</v>
      </c>
      <c r="N29" s="69">
        <f t="shared" si="10"/>
        <v>1.0589999999999999</v>
      </c>
      <c r="O29" s="69">
        <f t="shared" si="11"/>
        <v>1.048</v>
      </c>
      <c r="P29" s="69">
        <f t="shared" si="12"/>
        <v>1.04</v>
      </c>
      <c r="Q29" s="69">
        <f t="shared" si="13"/>
        <v>1.0349999999999999</v>
      </c>
    </row>
    <row r="30" spans="1:29">
      <c r="A30" s="69">
        <v>1</v>
      </c>
      <c r="B30" s="69"/>
      <c r="C30" s="69"/>
      <c r="D30" s="69">
        <f t="shared" si="0"/>
        <v>1.4159999999999999</v>
      </c>
      <c r="E30" s="69">
        <f t="shared" si="1"/>
        <v>1.3080000000000001</v>
      </c>
      <c r="F30" s="69">
        <f t="shared" si="2"/>
        <v>1.2410000000000001</v>
      </c>
      <c r="G30" s="69">
        <f t="shared" si="3"/>
        <v>1.198</v>
      </c>
      <c r="H30" s="69">
        <f t="shared" si="4"/>
        <v>1.167</v>
      </c>
      <c r="I30" s="69">
        <f t="shared" si="5"/>
        <v>1.1439999999999999</v>
      </c>
      <c r="J30" s="69">
        <f t="shared" si="6"/>
        <v>1.1180000000000001</v>
      </c>
      <c r="K30" s="69">
        <f t="shared" si="7"/>
        <v>1.093</v>
      </c>
      <c r="L30" s="69">
        <f t="shared" si="8"/>
        <v>1.0780000000000001</v>
      </c>
      <c r="M30" s="69">
        <f t="shared" si="9"/>
        <v>1.0680000000000001</v>
      </c>
      <c r="N30" s="69">
        <f t="shared" si="10"/>
        <v>1.06</v>
      </c>
      <c r="O30" s="69">
        <f t="shared" si="11"/>
        <v>1.048</v>
      </c>
      <c r="P30" s="69">
        <f t="shared" si="12"/>
        <v>1.04</v>
      </c>
      <c r="Q30" s="69">
        <f t="shared" si="13"/>
        <v>1.0349999999999999</v>
      </c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29">
      <c r="A31" s="71">
        <v>0.9</v>
      </c>
      <c r="B31" s="71"/>
      <c r="C31" s="71"/>
      <c r="D31" s="69">
        <f t="shared" si="0"/>
        <v>1.45</v>
      </c>
      <c r="E31" s="69">
        <f t="shared" si="1"/>
        <v>1.331</v>
      </c>
      <c r="F31" s="69">
        <f t="shared" si="2"/>
        <v>1.2589999999999999</v>
      </c>
      <c r="G31" s="69">
        <f t="shared" si="3"/>
        <v>1.2110000000000001</v>
      </c>
      <c r="H31" s="69">
        <f t="shared" si="4"/>
        <v>1.177</v>
      </c>
      <c r="I31" s="69">
        <f t="shared" si="5"/>
        <v>1.1519999999999999</v>
      </c>
      <c r="J31" s="69">
        <f t="shared" si="6"/>
        <v>1.1180000000000001</v>
      </c>
      <c r="K31" s="69">
        <f t="shared" si="7"/>
        <v>1.0960000000000001</v>
      </c>
      <c r="L31" s="69">
        <f t="shared" si="8"/>
        <v>1.081</v>
      </c>
      <c r="M31" s="69">
        <f t="shared" si="9"/>
        <v>1.07</v>
      </c>
      <c r="N31" s="69">
        <f t="shared" si="10"/>
        <v>1.0609999999999999</v>
      </c>
      <c r="O31" s="69">
        <f t="shared" si="11"/>
        <v>1.0489999999999999</v>
      </c>
      <c r="P31" s="69">
        <f t="shared" si="12"/>
        <v>1.0409999999999999</v>
      </c>
      <c r="Q31" s="69">
        <f t="shared" si="13"/>
        <v>1.0349999999999999</v>
      </c>
      <c r="S31" s="72"/>
    </row>
    <row r="32" spans="1:29">
      <c r="A32" s="69">
        <v>0.8</v>
      </c>
      <c r="B32" s="69"/>
      <c r="C32" s="69"/>
      <c r="D32" s="69">
        <f t="shared" si="0"/>
        <v>1.502</v>
      </c>
      <c r="E32" s="69">
        <f t="shared" si="1"/>
        <v>1.3680000000000001</v>
      </c>
      <c r="F32" s="69">
        <f t="shared" si="2"/>
        <v>1.2849999999999999</v>
      </c>
      <c r="G32" s="69">
        <f t="shared" si="3"/>
        <v>1.23</v>
      </c>
      <c r="H32" s="69">
        <f t="shared" si="4"/>
        <v>1.1919999999999999</v>
      </c>
      <c r="I32" s="69">
        <f t="shared" si="5"/>
        <v>1.163</v>
      </c>
      <c r="J32" s="69">
        <f t="shared" si="6"/>
        <v>1.125</v>
      </c>
      <c r="K32" s="69">
        <f t="shared" si="7"/>
        <v>1.101</v>
      </c>
      <c r="L32" s="69">
        <f t="shared" si="8"/>
        <v>1.085</v>
      </c>
      <c r="M32" s="69">
        <f t="shared" si="9"/>
        <v>1.073</v>
      </c>
      <c r="N32" s="69">
        <f t="shared" si="10"/>
        <v>1.0640000000000001</v>
      </c>
      <c r="O32" s="69">
        <f t="shared" si="11"/>
        <v>1.0509999999999999</v>
      </c>
      <c r="P32" s="69">
        <f t="shared" si="12"/>
        <v>1.042</v>
      </c>
      <c r="Q32" s="69">
        <f t="shared" si="13"/>
        <v>1.036</v>
      </c>
    </row>
    <row r="33" spans="1:26">
      <c r="A33" s="71">
        <v>0.7</v>
      </c>
      <c r="B33" s="71"/>
      <c r="C33" s="71"/>
      <c r="D33" s="69">
        <f t="shared" si="0"/>
        <v>1.5820000000000001</v>
      </c>
      <c r="E33" s="69">
        <f t="shared" si="1"/>
        <v>1.4259999999999999</v>
      </c>
      <c r="F33" s="69">
        <f t="shared" si="2"/>
        <v>1.3280000000000001</v>
      </c>
      <c r="G33" s="69">
        <f t="shared" si="3"/>
        <v>1.2629999999999999</v>
      </c>
      <c r="H33" s="69">
        <f t="shared" si="4"/>
        <v>1.2170000000000001</v>
      </c>
      <c r="I33" s="69">
        <f t="shared" si="5"/>
        <v>1.1830000000000001</v>
      </c>
      <c r="J33" s="69">
        <f t="shared" si="6"/>
        <v>1.1379999999999999</v>
      </c>
      <c r="K33" s="69">
        <f t="shared" si="7"/>
        <v>1.1100000000000001</v>
      </c>
      <c r="L33" s="69">
        <f t="shared" si="8"/>
        <v>1.091</v>
      </c>
      <c r="M33" s="69">
        <f t="shared" si="9"/>
        <v>1.077</v>
      </c>
      <c r="N33" s="69">
        <f t="shared" si="10"/>
        <v>1.0669999999999999</v>
      </c>
      <c r="O33" s="69">
        <f t="shared" si="11"/>
        <v>1.0529999999999999</v>
      </c>
      <c r="P33" s="69">
        <f t="shared" si="12"/>
        <v>1.044</v>
      </c>
      <c r="Q33" s="69">
        <f t="shared" si="13"/>
        <v>1.0369999999999999</v>
      </c>
    </row>
    <row r="34" spans="1:26">
      <c r="A34" s="69">
        <v>0.6</v>
      </c>
      <c r="B34" s="69"/>
      <c r="C34" s="69"/>
      <c r="D34" s="69">
        <f t="shared" si="0"/>
        <v>1.7070000000000001</v>
      </c>
      <c r="E34" s="69">
        <f t="shared" si="1"/>
        <v>1.5229999999999999</v>
      </c>
      <c r="F34" s="69">
        <f t="shared" si="2"/>
        <v>1.4039999999999999</v>
      </c>
      <c r="G34" s="69">
        <f t="shared" si="3"/>
        <v>1.3220000000000001</v>
      </c>
      <c r="H34" s="69">
        <f t="shared" si="4"/>
        <v>1.2629999999999999</v>
      </c>
      <c r="I34" s="69">
        <f t="shared" si="5"/>
        <v>1.22</v>
      </c>
      <c r="J34" s="69">
        <f t="shared" si="6"/>
        <v>1.1619999999999999</v>
      </c>
      <c r="K34" s="69">
        <f t="shared" si="7"/>
        <v>1.1259999999999999</v>
      </c>
      <c r="L34" s="69">
        <f t="shared" si="8"/>
        <v>1.1020000000000001</v>
      </c>
      <c r="M34" s="69">
        <f t="shared" si="9"/>
        <v>1.0860000000000001</v>
      </c>
      <c r="N34" s="69">
        <f t="shared" si="10"/>
        <v>1.0740000000000001</v>
      </c>
      <c r="O34" s="69">
        <f t="shared" si="11"/>
        <v>1.0569999999999999</v>
      </c>
      <c r="P34" s="69">
        <f t="shared" si="12"/>
        <v>1.0469999999999999</v>
      </c>
      <c r="Q34" s="69">
        <f t="shared" si="13"/>
        <v>1.0389999999999999</v>
      </c>
    </row>
    <row r="35" spans="1:26">
      <c r="A35" s="71">
        <v>0.5</v>
      </c>
      <c r="B35" s="71"/>
      <c r="C35" s="71"/>
      <c r="D35" s="69">
        <f t="shared" si="0"/>
        <v>1.9119999999999999</v>
      </c>
      <c r="E35" s="69">
        <f t="shared" si="1"/>
        <v>1.6879999999999999</v>
      </c>
      <c r="F35" s="69">
        <f t="shared" si="2"/>
        <v>1.54</v>
      </c>
      <c r="G35" s="69">
        <f t="shared" si="3"/>
        <v>1.4350000000000001</v>
      </c>
      <c r="H35" s="69">
        <f t="shared" si="4"/>
        <v>1.3580000000000001</v>
      </c>
      <c r="I35" s="69">
        <f t="shared" si="5"/>
        <v>1.298</v>
      </c>
      <c r="J35" s="69">
        <f t="shared" si="6"/>
        <v>1.216</v>
      </c>
      <c r="K35" s="69">
        <f t="shared" si="7"/>
        <v>1.163</v>
      </c>
      <c r="L35" s="69">
        <f t="shared" si="8"/>
        <v>1.1279999999999999</v>
      </c>
      <c r="M35" s="69">
        <f t="shared" si="9"/>
        <v>1.1040000000000001</v>
      </c>
      <c r="N35" s="69">
        <f t="shared" si="10"/>
        <v>1.0880000000000001</v>
      </c>
      <c r="O35" s="69">
        <f t="shared" si="11"/>
        <v>1.0660000000000001</v>
      </c>
      <c r="P35" s="69">
        <f t="shared" si="12"/>
        <v>1.052</v>
      </c>
      <c r="Q35" s="69">
        <f t="shared" si="13"/>
        <v>1.0429999999999999</v>
      </c>
    </row>
    <row r="36" spans="1:26">
      <c r="A36" s="69">
        <v>0.4</v>
      </c>
      <c r="B36" s="69"/>
      <c r="C36" s="69"/>
      <c r="D36" s="69">
        <f t="shared" si="0"/>
        <v>2.2559999999999998</v>
      </c>
      <c r="E36" s="69">
        <f t="shared" si="1"/>
        <v>1.976</v>
      </c>
      <c r="F36" s="69">
        <f t="shared" si="2"/>
        <v>1.788</v>
      </c>
      <c r="G36" s="69">
        <f t="shared" si="3"/>
        <v>1.6519999999999999</v>
      </c>
      <c r="H36" s="69">
        <f t="shared" si="4"/>
        <v>1.548</v>
      </c>
      <c r="I36" s="69">
        <f t="shared" si="5"/>
        <v>1.4670000000000001</v>
      </c>
      <c r="J36" s="69">
        <f t="shared" si="6"/>
        <v>1.3480000000000001</v>
      </c>
      <c r="K36" s="69">
        <f t="shared" si="7"/>
        <v>1.2649999999999999</v>
      </c>
      <c r="L36" s="69">
        <f t="shared" si="8"/>
        <v>1.206</v>
      </c>
      <c r="M36" s="69">
        <f t="shared" si="9"/>
        <v>1.163</v>
      </c>
      <c r="N36" s="69">
        <f t="shared" si="10"/>
        <v>1.131</v>
      </c>
      <c r="O36" s="69">
        <f t="shared" si="11"/>
        <v>1.091</v>
      </c>
      <c r="P36" s="69">
        <f t="shared" si="12"/>
        <v>1.0680000000000001</v>
      </c>
      <c r="Q36" s="69">
        <f t="shared" si="13"/>
        <v>1.054</v>
      </c>
    </row>
    <row r="37" spans="1:26">
      <c r="A37" s="71">
        <v>0.3</v>
      </c>
      <c r="B37" s="71"/>
      <c r="C37" s="71"/>
      <c r="D37" s="69">
        <f t="shared" si="0"/>
        <v>2.8759999999999999</v>
      </c>
      <c r="E37" s="69">
        <f t="shared" si="1"/>
        <v>2.5070000000000001</v>
      </c>
      <c r="F37" s="69">
        <f t="shared" si="2"/>
        <v>2.2559999999999998</v>
      </c>
      <c r="G37" s="69">
        <f t="shared" si="3"/>
        <v>2.0710000000000002</v>
      </c>
      <c r="H37" s="69">
        <f t="shared" si="4"/>
        <v>1.93</v>
      </c>
      <c r="I37" s="69">
        <f t="shared" si="5"/>
        <v>1.8160000000000001</v>
      </c>
      <c r="J37" s="69">
        <f t="shared" si="6"/>
        <v>1.6459999999999999</v>
      </c>
      <c r="K37" s="69">
        <f t="shared" si="7"/>
        <v>1.5229999999999999</v>
      </c>
      <c r="L37" s="69">
        <f t="shared" si="8"/>
        <v>1.43</v>
      </c>
      <c r="M37" s="69">
        <f t="shared" si="9"/>
        <v>1.357</v>
      </c>
      <c r="N37" s="69">
        <f t="shared" si="10"/>
        <v>1.2989999999999999</v>
      </c>
      <c r="O37" s="69">
        <f t="shared" si="11"/>
        <v>1.212</v>
      </c>
      <c r="P37" s="69">
        <f t="shared" si="12"/>
        <v>1.1519999999999999</v>
      </c>
      <c r="Q37" s="69">
        <f t="shared" si="13"/>
        <v>1.1100000000000001</v>
      </c>
    </row>
    <row r="38" spans="1:26">
      <c r="A38" s="69">
        <v>0.2</v>
      </c>
      <c r="B38" s="69"/>
      <c r="C38" s="69"/>
      <c r="D38" s="69">
        <f t="shared" si="0"/>
        <v>4.1829999999999998</v>
      </c>
      <c r="E38" s="69">
        <f t="shared" si="1"/>
        <v>3.629</v>
      </c>
      <c r="F38" s="69">
        <f t="shared" si="2"/>
        <v>3.2549999999999999</v>
      </c>
      <c r="G38" s="69">
        <f t="shared" si="3"/>
        <v>2.9769999999999999</v>
      </c>
      <c r="H38" s="69">
        <f t="shared" si="4"/>
        <v>2.766</v>
      </c>
      <c r="I38" s="69">
        <f t="shared" si="5"/>
        <v>2.5939999999999999</v>
      </c>
      <c r="J38" s="69">
        <f t="shared" si="6"/>
        <v>2.3319999999999999</v>
      </c>
      <c r="K38" s="69">
        <f t="shared" si="7"/>
        <v>2.14</v>
      </c>
      <c r="L38" s="69">
        <f t="shared" si="8"/>
        <v>1.9930000000000001</v>
      </c>
      <c r="M38" s="69">
        <f t="shared" si="9"/>
        <v>1.8740000000000001</v>
      </c>
      <c r="N38" s="69">
        <f t="shared" si="10"/>
        <v>1.7769999999999999</v>
      </c>
      <c r="O38" s="69">
        <f t="shared" si="11"/>
        <v>1.6259999999999999</v>
      </c>
      <c r="P38" s="69">
        <f t="shared" si="12"/>
        <v>1.5129999999999999</v>
      </c>
      <c r="Q38" s="69">
        <f t="shared" si="13"/>
        <v>1.4259999999999999</v>
      </c>
    </row>
    <row r="39" spans="1:26">
      <c r="A39" s="71">
        <v>0.1</v>
      </c>
      <c r="D39" s="69">
        <f t="shared" si="0"/>
        <v>8.2149999999999999</v>
      </c>
      <c r="E39" s="69">
        <f t="shared" si="1"/>
        <v>7.0659999999999998</v>
      </c>
      <c r="F39" s="69">
        <f t="shared" si="2"/>
        <v>6.3579999999999997</v>
      </c>
      <c r="G39" s="69">
        <f t="shared" si="3"/>
        <v>5.806</v>
      </c>
      <c r="H39" s="69">
        <f t="shared" si="4"/>
        <v>5.3890000000000002</v>
      </c>
      <c r="I39" s="69">
        <f t="shared" si="5"/>
        <v>5.0449999999999999</v>
      </c>
      <c r="J39" s="69">
        <f t="shared" si="6"/>
        <v>4.508</v>
      </c>
      <c r="K39" s="69">
        <f t="shared" si="7"/>
        <v>4.1289999999999996</v>
      </c>
      <c r="L39" s="69">
        <f t="shared" si="8"/>
        <v>3.8279999999999998</v>
      </c>
      <c r="M39" s="69">
        <f t="shared" si="9"/>
        <v>3.5830000000000002</v>
      </c>
      <c r="N39" s="69">
        <f t="shared" si="10"/>
        <v>3.3839999999999999</v>
      </c>
      <c r="O39" s="69">
        <f t="shared" si="11"/>
        <v>3.069</v>
      </c>
      <c r="P39" s="69">
        <f t="shared" si="12"/>
        <v>2.8279999999999998</v>
      </c>
      <c r="Q39" s="69">
        <f t="shared" si="13"/>
        <v>2.5110000000000001</v>
      </c>
    </row>
    <row r="45" spans="1:26">
      <c r="V45" s="72"/>
      <c r="W45" s="72"/>
      <c r="X45" s="72"/>
      <c r="Y45" s="72"/>
      <c r="Z45" s="72"/>
    </row>
    <row r="95" spans="1:11">
      <c r="B95" s="72"/>
      <c r="C95" s="72"/>
      <c r="D95" s="72"/>
      <c r="E95" s="72"/>
      <c r="F95" s="72"/>
      <c r="G95" s="72"/>
      <c r="H95" s="72"/>
      <c r="I95" s="72"/>
      <c r="J95" s="72"/>
      <c r="K95" s="72"/>
    </row>
    <row r="96" spans="1:11">
      <c r="A96" s="72"/>
    </row>
    <row r="99" spans="5:5">
      <c r="E99">
        <v>1.43</v>
      </c>
    </row>
    <row r="100" spans="5:5">
      <c r="E100" s="69">
        <v>1.45</v>
      </c>
    </row>
    <row r="101" spans="5:5">
      <c r="E101" s="70">
        <v>1.47</v>
      </c>
    </row>
    <row r="102" spans="5:5">
      <c r="E102" s="69">
        <v>1.5</v>
      </c>
    </row>
    <row r="103" spans="5:5">
      <c r="E103" s="71">
        <v>1.54</v>
      </c>
    </row>
    <row r="104" spans="5:5">
      <c r="E104" s="69">
        <v>1.6</v>
      </c>
    </row>
    <row r="105" spans="5:5">
      <c r="E105" s="71">
        <v>1.7</v>
      </c>
    </row>
    <row r="106" spans="5:5">
      <c r="E106" s="69">
        <v>1.83</v>
      </c>
    </row>
    <row r="107" spans="5:5">
      <c r="E107" s="71">
        <v>2.0699999999999998</v>
      </c>
    </row>
    <row r="108" spans="5:5">
      <c r="E108" s="69">
        <v>2.4500000000000002</v>
      </c>
    </row>
    <row r="109" spans="5:5">
      <c r="E109" s="71">
        <v>5</v>
      </c>
    </row>
    <row r="110" spans="5:5">
      <c r="E110" s="69">
        <v>10</v>
      </c>
    </row>
  </sheetData>
  <phoneticPr fontId="2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selection activeCell="A3" sqref="A3"/>
    </sheetView>
  </sheetViews>
  <sheetFormatPr defaultRowHeight="15"/>
  <cols>
    <col min="1" max="1" width="13.28515625" customWidth="1"/>
    <col min="2" max="2" width="17.7109375" customWidth="1"/>
    <col min="16" max="16" width="12.7109375" customWidth="1"/>
  </cols>
  <sheetData>
    <row r="1" spans="1:16">
      <c r="A1" s="77" t="s">
        <v>153</v>
      </c>
      <c r="B1" s="79">
        <f>1/SQRT(Lr*Cr*10)*100000000</f>
        <v>674199.86246324214</v>
      </c>
      <c r="C1" t="s">
        <v>165</v>
      </c>
      <c r="D1">
        <f>Lp</f>
        <v>475</v>
      </c>
    </row>
    <row r="2" spans="1:16">
      <c r="A2" s="77" t="s">
        <v>154</v>
      </c>
      <c r="B2" s="79">
        <f>1/SQRT(Lp*Cr*10)*100000000</f>
        <v>309344.11244487297</v>
      </c>
      <c r="C2" t="s">
        <v>165</v>
      </c>
    </row>
    <row r="3" spans="1:16">
      <c r="A3" s="77" t="s">
        <v>166</v>
      </c>
      <c r="B3" s="85">
        <f>SQRT(Lr*10^-6*10^9/Cr)/Rac</f>
        <v>0.42919298579174714</v>
      </c>
    </row>
    <row r="4" spans="1:16">
      <c r="A4" s="77" t="s">
        <v>172</v>
      </c>
      <c r="B4" s="85">
        <f>SQRT(Ma/(Ma-1))</f>
        <v>1.1254628677422756</v>
      </c>
    </row>
    <row r="6" spans="1:16">
      <c r="A6" t="s">
        <v>151</v>
      </c>
      <c r="B6" t="s">
        <v>152</v>
      </c>
      <c r="C6" s="73" t="s">
        <v>167</v>
      </c>
      <c r="D6" s="73" t="s">
        <v>168</v>
      </c>
      <c r="E6" s="73" t="s">
        <v>169</v>
      </c>
      <c r="F6" s="73" t="s">
        <v>170</v>
      </c>
      <c r="G6" s="73" t="s">
        <v>171</v>
      </c>
    </row>
    <row r="7" spans="1:16">
      <c r="A7" s="74">
        <f>fo*0.35</f>
        <v>37.574833099066041</v>
      </c>
      <c r="B7" s="75">
        <f>2000*3.14*A7</f>
        <v>235969.95186213474</v>
      </c>
      <c r="C7" s="76">
        <f t="shared" ref="C7:C38" si="0">(B7/wo)^2*SQRT(Ma*(Ma-1))/SQRT((1-B7^2/wp^2)^2+(B7/wo)^2*(1-B7^2/wo^2)^2*(Ma*Q)^2)/IF(answer,1,MC)</f>
        <v>0.68668883144414772</v>
      </c>
      <c r="D7" s="76">
        <f t="shared" ref="D7:D38" si="1">(B7/wo)^2*SQRT(Ma*(Ma-1))/SQRT((1-B7^2/wp^2)^2+(B7/wo)^2*(1-B7^2/wo^2)^2*(Ma*(Q*0.8))^2)/IF(answer,1,MC)</f>
        <v>0.79237640998766956</v>
      </c>
      <c r="E7" s="76">
        <f t="shared" ref="E7:E38" si="2">(B7/wo)^2*SQRT(Ma*(Ma-1))/SQRT((1-B7^2/wp^2)^2+(B7/wo)^2*(1-B7^2/wo^2)^2*(Ma*(Q*0.6))^2)/IF(answer,1,MC)</f>
        <v>0.91977619721141302</v>
      </c>
      <c r="F7" s="76">
        <f t="shared" ref="F7:F38" si="3">(B7/wo)^2*SQRT(Ma*(Ma-1))/SQRT((1-B7^2/wp^2)^2+(B7/wo)^2*(1-B7^2/wo^2)^2*(Ma*(Q*0.4))^2)/IF(answer,1,MC)</f>
        <v>1.0607609382546448</v>
      </c>
      <c r="G7" s="76">
        <f t="shared" ref="G7:G38" si="4">(B7/wo)^2*SQRT(Ma*(Ma-1))/SQRT((1-B7^2/wp^2)^2+(B7/wo)^2*(1-B7^2/wo^2)^2*(Ma*(Q*0.2))^2)/IF(answer,1,MC)</f>
        <v>1.1845129673431478</v>
      </c>
    </row>
    <row r="8" spans="1:16">
      <c r="A8" s="74">
        <f>A7*10^0.008</f>
        <v>38.273401402279454</v>
      </c>
      <c r="B8" s="75">
        <f t="shared" ref="B8:B71" si="5">2000*3.14*A8</f>
        <v>240356.96080631498</v>
      </c>
      <c r="C8" s="76">
        <f t="shared" si="0"/>
        <v>0.71710591446214467</v>
      </c>
      <c r="D8" s="76">
        <f t="shared" si="1"/>
        <v>0.83303340629170974</v>
      </c>
      <c r="E8" s="76">
        <f t="shared" si="2"/>
        <v>0.97619471877816144</v>
      </c>
      <c r="F8" s="76">
        <f t="shared" si="3"/>
        <v>1.139900879779135</v>
      </c>
      <c r="G8" s="76">
        <f t="shared" si="4"/>
        <v>1.2891239828853174</v>
      </c>
      <c r="H8" s="75"/>
    </row>
    <row r="9" spans="1:16">
      <c r="A9" s="74">
        <f t="shared" ref="A9:A72" si="6">A8*10^0.008</f>
        <v>38.984957059900211</v>
      </c>
      <c r="B9" s="75">
        <f t="shared" si="5"/>
        <v>244825.53033617331</v>
      </c>
      <c r="C9" s="76">
        <f t="shared" si="0"/>
        <v>0.74864121531277805</v>
      </c>
      <c r="D9" s="76">
        <f t="shared" si="1"/>
        <v>0.87565647222165277</v>
      </c>
      <c r="E9" s="76">
        <f t="shared" si="2"/>
        <v>1.0365197106968245</v>
      </c>
      <c r="F9" s="76">
        <f t="shared" si="3"/>
        <v>1.2271383614132922</v>
      </c>
      <c r="G9" s="76">
        <f t="shared" si="4"/>
        <v>1.4085282049882917</v>
      </c>
      <c r="H9" s="75"/>
    </row>
    <row r="10" spans="1:16">
      <c r="A10" s="74">
        <f t="shared" si="6"/>
        <v>39.709741524873898</v>
      </c>
      <c r="B10" s="75">
        <f t="shared" si="5"/>
        <v>249377.17677620807</v>
      </c>
      <c r="C10" s="76">
        <f t="shared" si="0"/>
        <v>0.78126203042380227</v>
      </c>
      <c r="D10" s="76">
        <f t="shared" si="1"/>
        <v>0.92022285138416382</v>
      </c>
      <c r="E10" s="76">
        <f t="shared" si="2"/>
        <v>1.1008903607727518</v>
      </c>
      <c r="F10" s="76">
        <f t="shared" si="3"/>
        <v>1.3234036837448586</v>
      </c>
      <c r="G10" s="76">
        <f t="shared" si="4"/>
        <v>1.5458143062183498</v>
      </c>
      <c r="H10" s="75"/>
    </row>
    <row r="11" spans="1:16">
      <c r="A11" s="74">
        <f t="shared" si="6"/>
        <v>40.448000739091505</v>
      </c>
      <c r="B11" s="75">
        <f t="shared" si="5"/>
        <v>254013.44464149466</v>
      </c>
      <c r="C11" s="76">
        <f t="shared" si="0"/>
        <v>0.81491737208149739</v>
      </c>
      <c r="D11" s="76">
        <f t="shared" si="1"/>
        <v>0.96666965344700484</v>
      </c>
      <c r="E11" s="76">
        <f t="shared" si="2"/>
        <v>1.1693767012916227</v>
      </c>
      <c r="F11" s="76">
        <f t="shared" si="3"/>
        <v>1.4296617380476362</v>
      </c>
      <c r="G11" s="76">
        <f t="shared" si="4"/>
        <v>1.7049136449618798</v>
      </c>
      <c r="H11" s="75"/>
    </row>
    <row r="12" spans="1:16">
      <c r="A12" s="74">
        <f t="shared" si="6"/>
        <v>41.199985216845164</v>
      </c>
      <c r="B12" s="75">
        <f t="shared" si="5"/>
        <v>258735.90716178762</v>
      </c>
      <c r="C12" s="76">
        <f t="shared" si="0"/>
        <v>0.8495351168833053</v>
      </c>
      <c r="D12" s="76">
        <f t="shared" si="1"/>
        <v>1.0148841044522003</v>
      </c>
      <c r="E12" s="76">
        <f t="shared" si="2"/>
        <v>1.2419461930228137</v>
      </c>
      <c r="F12" s="76">
        <f t="shared" si="3"/>
        <v>1.5468493860664583</v>
      </c>
      <c r="G12" s="76">
        <f t="shared" si="4"/>
        <v>1.8908622489950606</v>
      </c>
      <c r="H12" s="75"/>
    </row>
    <row r="13" spans="1:16">
      <c r="A13" s="74">
        <f t="shared" si="6"/>
        <v>41.965950129835413</v>
      </c>
      <c r="B13" s="75">
        <f t="shared" si="5"/>
        <v>263546.16681536642</v>
      </c>
      <c r="C13" s="76">
        <f t="shared" si="0"/>
        <v>0.88501916582570961</v>
      </c>
      <c r="D13" s="76">
        <f t="shared" si="1"/>
        <v>1.0646930537096435</v>
      </c>
      <c r="E13" s="76">
        <f t="shared" si="2"/>
        <v>1.3184216070388917</v>
      </c>
      <c r="F13" s="76">
        <f t="shared" si="3"/>
        <v>1.6757638309900837</v>
      </c>
      <c r="G13" s="76">
        <f t="shared" si="4"/>
        <v>2.1101295122244967</v>
      </c>
      <c r="H13" s="75"/>
    </row>
    <row r="14" spans="1:16">
      <c r="A14" s="74">
        <f t="shared" si="6"/>
        <v>42.746155393758897</v>
      </c>
      <c r="B14" s="75">
        <f t="shared" si="5"/>
        <v>268445.85587280587</v>
      </c>
      <c r="C14" s="76">
        <f t="shared" si="0"/>
        <v>0.92124678238340441</v>
      </c>
      <c r="D14" s="76">
        <f t="shared" si="1"/>
        <v>1.115852342390999</v>
      </c>
      <c r="E14" s="76">
        <f t="shared" si="2"/>
        <v>1.3984305209416086</v>
      </c>
      <c r="F14" s="76">
        <f t="shared" si="3"/>
        <v>1.8168768306043854</v>
      </c>
      <c r="G14" s="76">
        <f t="shared" si="4"/>
        <v>2.3709896306792206</v>
      </c>
      <c r="H14" s="75"/>
      <c r="O14" s="97" t="s">
        <v>157</v>
      </c>
      <c r="P14" s="98"/>
    </row>
    <row r="15" spans="1:16">
      <c r="A15" s="74">
        <f t="shared" si="6"/>
        <v>43.540865756505852</v>
      </c>
      <c r="B15" s="75">
        <f t="shared" si="5"/>
        <v>273436.63695085677</v>
      </c>
      <c r="C15" s="76">
        <f t="shared" si="0"/>
        <v>0.95806632504985723</v>
      </c>
      <c r="D15" s="76">
        <f t="shared" si="1"/>
        <v>1.1680369828005719</v>
      </c>
      <c r="E15" s="76">
        <f t="shared" si="2"/>
        <v>1.4813488358629774</v>
      </c>
      <c r="F15" s="76">
        <f t="shared" si="3"/>
        <v>1.9700443950005104</v>
      </c>
      <c r="G15" s="76">
        <f t="shared" si="4"/>
        <v>2.6838219817936992</v>
      </c>
      <c r="H15" s="75"/>
      <c r="O15" s="77" t="s">
        <v>158</v>
      </c>
      <c r="P15" s="80">
        <f>SQRT(Lp^2-Lr*Lp)</f>
        <v>422.04857540335331</v>
      </c>
    </row>
    <row r="16" spans="1:16">
      <c r="A16" s="74">
        <f t="shared" si="6"/>
        <v>44.350350887997259</v>
      </c>
      <c r="B16" s="75">
        <f t="shared" si="5"/>
        <v>278520.20357662276</v>
      </c>
      <c r="C16" s="76">
        <f t="shared" si="0"/>
        <v>0.99529563916352204</v>
      </c>
      <c r="D16" s="76">
        <f t="shared" si="1"/>
        <v>1.220833484605985</v>
      </c>
      <c r="E16" s="76">
        <f t="shared" si="2"/>
        <v>1.5662440693862634</v>
      </c>
      <c r="F16" s="76">
        <f t="shared" si="3"/>
        <v>2.1340853795306831</v>
      </c>
      <c r="G16" s="76">
        <f t="shared" si="4"/>
        <v>3.0609775864747513</v>
      </c>
      <c r="H16" s="75"/>
      <c r="O16" s="77" t="s">
        <v>159</v>
      </c>
      <c r="P16" s="80">
        <f>Lp-SQRT(Lp^2-Lr*Lp)</f>
        <v>52.951424596646689</v>
      </c>
    </row>
    <row r="17" spans="1:16">
      <c r="A17" s="74">
        <f t="shared" si="6"/>
        <v>45.174885471692264</v>
      </c>
      <c r="B17" s="75">
        <f t="shared" si="5"/>
        <v>283698.28076222743</v>
      </c>
      <c r="C17" s="76">
        <f t="shared" si="0"/>
        <v>1.0327214115064778</v>
      </c>
      <c r="D17" s="76">
        <f t="shared" si="1"/>
        <v>1.2737360334189261</v>
      </c>
      <c r="E17" s="76">
        <f t="shared" si="2"/>
        <v>1.6518287703187871</v>
      </c>
      <c r="F17" s="76">
        <f t="shared" si="3"/>
        <v>2.3062301031752277</v>
      </c>
      <c r="G17" s="76">
        <f t="shared" si="4"/>
        <v>3.5152135377083495</v>
      </c>
      <c r="H17" s="75"/>
      <c r="O17" s="77" t="s">
        <v>160</v>
      </c>
      <c r="P17" s="81">
        <f>Np/Ns</f>
        <v>17.600000000000001</v>
      </c>
    </row>
    <row r="18" spans="1:16">
      <c r="A18" s="74">
        <f t="shared" si="6"/>
        <v>46.014749297796783</v>
      </c>
      <c r="B18" s="75">
        <f t="shared" si="5"/>
        <v>288972.62559016381</v>
      </c>
      <c r="C18" s="76">
        <f t="shared" si="0"/>
        <v>1.0700998096368457</v>
      </c>
      <c r="D18" s="76">
        <f t="shared" si="1"/>
        <v>1.3261484741023308</v>
      </c>
      <c r="E18" s="76">
        <f t="shared" si="2"/>
        <v>1.7364395127039813</v>
      </c>
      <c r="F18" s="76">
        <f t="shared" si="3"/>
        <v>2.4815147396084138</v>
      </c>
      <c r="G18" s="76">
        <f t="shared" si="4"/>
        <v>4.0542728754987163</v>
      </c>
      <c r="H18" s="75"/>
      <c r="O18" s="77" t="s">
        <v>161</v>
      </c>
      <c r="P18" s="81">
        <f>Ro*n^2*8/3.14^2</f>
        <v>1.9864946272560615E-13</v>
      </c>
    </row>
    <row r="19" spans="1:16">
      <c r="A19" s="74">
        <f t="shared" si="6"/>
        <v>46.870227358205021</v>
      </c>
      <c r="B19" s="75">
        <f t="shared" si="5"/>
        <v>294345.02780952753</v>
      </c>
      <c r="C19" s="76">
        <f t="shared" si="0"/>
        <v>1.1071587140480623</v>
      </c>
      <c r="D19" s="76">
        <f t="shared" si="1"/>
        <v>1.3773940341530626</v>
      </c>
      <c r="E19" s="76">
        <f t="shared" si="2"/>
        <v>1.8180606793257819</v>
      </c>
      <c r="F19" s="76">
        <f t="shared" si="3"/>
        <v>2.6523361272299399</v>
      </c>
      <c r="G19" s="76">
        <f t="shared" si="4"/>
        <v>4.6669025880489494</v>
      </c>
      <c r="H19" s="75"/>
      <c r="O19" s="82"/>
      <c r="P19" s="83"/>
    </row>
    <row r="20" spans="1:16">
      <c r="A20" s="74">
        <f t="shared" si="6"/>
        <v>47.741609943206093</v>
      </c>
      <c r="B20" s="75">
        <f t="shared" si="5"/>
        <v>299817.31044333428</v>
      </c>
      <c r="C20" s="76">
        <f t="shared" si="0"/>
        <v>1.1436017931900484</v>
      </c>
      <c r="D20" s="76">
        <f t="shared" si="1"/>
        <v>1.4267342879269296</v>
      </c>
      <c r="E20" s="76">
        <f t="shared" si="2"/>
        <v>1.8944114952006226</v>
      </c>
      <c r="F20" s="76">
        <f t="shared" si="3"/>
        <v>2.8085531215046284</v>
      </c>
      <c r="G20" s="76">
        <f t="shared" si="4"/>
        <v>5.2960135773906156</v>
      </c>
      <c r="H20" s="75"/>
      <c r="O20" s="77" t="s">
        <v>153</v>
      </c>
      <c r="P20" s="78">
        <f>1/SQRT(Lr*Cr)</f>
        <v>2.1320071635561041E-2</v>
      </c>
    </row>
    <row r="21" spans="1:16">
      <c r="A21" s="74">
        <f t="shared" si="6"/>
        <v>48.629192739988525</v>
      </c>
      <c r="B21" s="75">
        <f t="shared" si="5"/>
        <v>305391.33040712791</v>
      </c>
      <c r="C21" s="76">
        <f t="shared" si="0"/>
        <v>1.179114560686269</v>
      </c>
      <c r="D21" s="76">
        <f t="shared" si="1"/>
        <v>1.4733978996817354</v>
      </c>
      <c r="E21" s="76">
        <f t="shared" si="2"/>
        <v>1.96310600945544</v>
      </c>
      <c r="F21" s="76">
        <f t="shared" si="3"/>
        <v>2.9385794324139258</v>
      </c>
      <c r="G21" s="76">
        <f t="shared" si="4"/>
        <v>5.8127761928751971</v>
      </c>
      <c r="H21" s="75"/>
      <c r="O21" s="77" t="s">
        <v>154</v>
      </c>
      <c r="P21" s="78">
        <f>1/SQRT(Lp*Cr)</f>
        <v>9.7823197608903692E-3</v>
      </c>
    </row>
    <row r="22" spans="1:16">
      <c r="A22" s="74">
        <f t="shared" si="6"/>
        <v>49.533276932976094</v>
      </c>
      <c r="B22" s="75">
        <f t="shared" si="5"/>
        <v>311068.97913908988</v>
      </c>
      <c r="C22" s="76">
        <f t="shared" si="0"/>
        <v>1.2133723895212938</v>
      </c>
      <c r="D22" s="76">
        <f t="shared" si="1"/>
        <v>1.5166182006237012</v>
      </c>
      <c r="E22" s="76">
        <f t="shared" si="2"/>
        <v>2.0218774374920132</v>
      </c>
      <c r="F22" s="76">
        <f t="shared" si="3"/>
        <v>3.0316164180036247</v>
      </c>
      <c r="G22" s="76">
        <f t="shared" si="4"/>
        <v>6.0503246885383311</v>
      </c>
      <c r="H22" s="75"/>
      <c r="O22" s="77" t="s">
        <v>155</v>
      </c>
      <c r="P22" s="78">
        <f>wo/2/3.14</f>
        <v>107356.66599733154</v>
      </c>
    </row>
    <row r="23" spans="1:16">
      <c r="A23" s="74">
        <f t="shared" si="6"/>
        <v>50.454169306029087</v>
      </c>
      <c r="B23" s="75">
        <f t="shared" si="5"/>
        <v>316852.18324186269</v>
      </c>
      <c r="C23" s="76">
        <f t="shared" si="0"/>
        <v>1.2460502492639762</v>
      </c>
      <c r="D23" s="76">
        <f t="shared" si="1"/>
        <v>1.5556768488963246</v>
      </c>
      <c r="E23" s="76">
        <f t="shared" si="2"/>
        <v>2.0688340223192956</v>
      </c>
      <c r="F23" s="76">
        <f t="shared" si="3"/>
        <v>3.0804448144628869</v>
      </c>
      <c r="G23" s="76">
        <f t="shared" si="4"/>
        <v>5.9308481043192325</v>
      </c>
      <c r="H23" s="75"/>
      <c r="O23" s="77" t="s">
        <v>156</v>
      </c>
      <c r="P23" s="78">
        <f>wm/2/3.14</f>
        <v>0.14653230117582225</v>
      </c>
    </row>
    <row r="24" spans="1:16">
      <c r="A24" s="74">
        <f t="shared" si="6"/>
        <v>51.392182346545589</v>
      </c>
      <c r="B24" s="75">
        <f t="shared" si="5"/>
        <v>322742.9051363063</v>
      </c>
      <c r="C24" s="76">
        <f t="shared" si="0"/>
        <v>1.2768337022614127</v>
      </c>
      <c r="D24" s="76">
        <f t="shared" si="1"/>
        <v>1.589949092895895</v>
      </c>
      <c r="E24" s="76">
        <f t="shared" si="2"/>
        <v>2.1026931336333057</v>
      </c>
      <c r="F24" s="76">
        <f t="shared" si="3"/>
        <v>3.0834963288747841</v>
      </c>
      <c r="G24" s="76">
        <f t="shared" si="4"/>
        <v>5.5406884797462652</v>
      </c>
      <c r="H24" s="75"/>
      <c r="O24" s="82"/>
      <c r="P24" s="83"/>
    </row>
    <row r="25" spans="1:16">
      <c r="A25" s="74">
        <f t="shared" si="6"/>
        <v>52.347634351498151</v>
      </c>
      <c r="B25" s="75">
        <f t="shared" si="5"/>
        <v>328743.14372740837</v>
      </c>
      <c r="C25" s="76">
        <f t="shared" si="0"/>
        <v>1.3054304778810293</v>
      </c>
      <c r="D25" s="76">
        <f t="shared" si="1"/>
        <v>1.6189450327404673</v>
      </c>
      <c r="E25" s="76">
        <f t="shared" si="2"/>
        <v>2.1229359218951149</v>
      </c>
      <c r="F25" s="76">
        <f t="shared" si="3"/>
        <v>3.0450622003215964</v>
      </c>
      <c r="G25" s="76">
        <f t="shared" si="4"/>
        <v>5.0363574485058624</v>
      </c>
      <c r="H25" s="75"/>
      <c r="O25" s="77" t="s">
        <v>162</v>
      </c>
      <c r="P25" s="84">
        <f>SQRT(Lr/Cr)/Rac</f>
        <v>1.3572273908702069E-2</v>
      </c>
    </row>
    <row r="26" spans="1:16">
      <c r="A26" s="74">
        <f t="shared" si="6"/>
        <v>53.320849535441873</v>
      </c>
      <c r="B26" s="75">
        <f t="shared" si="5"/>
        <v>334854.93508257496</v>
      </c>
      <c r="C26" s="76">
        <f t="shared" si="0"/>
        <v>1.3315817817155058</v>
      </c>
      <c r="D26" s="76">
        <f t="shared" si="1"/>
        <v>1.6423412213067345</v>
      </c>
      <c r="E26" s="76">
        <f t="shared" si="2"/>
        <v>2.1298429566271637</v>
      </c>
      <c r="F26" s="76">
        <f t="shared" si="3"/>
        <v>2.9735956216337969</v>
      </c>
      <c r="G26" s="76">
        <f t="shared" si="4"/>
        <v>4.5323356091546776</v>
      </c>
      <c r="H26" s="75"/>
      <c r="O26" s="77" t="s">
        <v>163</v>
      </c>
      <c r="P26" s="84">
        <f>SQRT(Lp/Cr)/Rac</f>
        <v>2.9580085201043049E-2</v>
      </c>
    </row>
    <row r="27" spans="1:16">
      <c r="A27" s="74">
        <f t="shared" si="6"/>
        <v>54.31215814053045</v>
      </c>
      <c r="B27" s="75">
        <f t="shared" si="5"/>
        <v>341080.3531225312</v>
      </c>
      <c r="C27" s="76">
        <f t="shared" si="0"/>
        <v>1.3550724282608595</v>
      </c>
      <c r="D27" s="76">
        <f t="shared" si="1"/>
        <v>1.6599981619238511</v>
      </c>
      <c r="E27" s="76">
        <f t="shared" si="2"/>
        <v>2.124406095549209</v>
      </c>
      <c r="F27" s="76">
        <f t="shared" si="3"/>
        <v>2.8791613685992394</v>
      </c>
      <c r="G27" s="76">
        <f t="shared" si="4"/>
        <v>4.080193495005064</v>
      </c>
      <c r="H27" s="75"/>
      <c r="O27" s="77" t="s">
        <v>164</v>
      </c>
      <c r="P27" s="84">
        <f>Lp/Lr</f>
        <v>4.75</v>
      </c>
    </row>
    <row r="28" spans="1:16">
      <c r="A28" s="74">
        <f t="shared" si="6"/>
        <v>55.321896548577612</v>
      </c>
      <c r="B28" s="75">
        <f t="shared" si="5"/>
        <v>347421.51032506739</v>
      </c>
      <c r="C28" s="76">
        <f t="shared" si="0"/>
        <v>1.3757389367763326</v>
      </c>
      <c r="D28" s="76">
        <f t="shared" si="1"/>
        <v>1.6719615318987007</v>
      </c>
      <c r="E28" s="76">
        <f t="shared" si="2"/>
        <v>2.1081473669682071</v>
      </c>
      <c r="F28" s="76">
        <f t="shared" si="3"/>
        <v>2.7712494049660887</v>
      </c>
      <c r="G28" s="76">
        <f t="shared" si="4"/>
        <v>3.6927457159766965</v>
      </c>
      <c r="H28" s="75"/>
    </row>
    <row r="29" spans="1:16">
      <c r="A29" s="74">
        <f t="shared" si="6"/>
        <v>56.350407395201927</v>
      </c>
      <c r="B29" s="75">
        <f t="shared" si="5"/>
        <v>353880.55844186811</v>
      </c>
      <c r="C29" s="76">
        <f t="shared" si="0"/>
        <v>1.3934749043402495</v>
      </c>
      <c r="D29" s="76">
        <f t="shared" si="1"/>
        <v>1.6784477049786841</v>
      </c>
      <c r="E29" s="76">
        <f t="shared" si="2"/>
        <v>2.0828960656044977</v>
      </c>
      <c r="F29" s="76">
        <f t="shared" si="3"/>
        <v>2.6575494941253113</v>
      </c>
      <c r="G29" s="76">
        <f t="shared" si="4"/>
        <v>3.3662516376802127</v>
      </c>
      <c r="H29" s="75"/>
    </row>
    <row r="30" spans="1:16">
      <c r="A30" s="74">
        <f t="shared" si="6"/>
        <v>57.398039686093703</v>
      </c>
      <c r="B30" s="75">
        <f t="shared" si="5"/>
        <v>360459.68922866846</v>
      </c>
      <c r="C30" s="76">
        <f t="shared" si="0"/>
        <v>1.4082332449720216</v>
      </c>
      <c r="D30" s="76">
        <f t="shared" si="1"/>
        <v>1.679816621164292</v>
      </c>
      <c r="E30" s="76">
        <f t="shared" si="2"/>
        <v>2.0505747082491417</v>
      </c>
      <c r="F30" s="76">
        <f t="shared" si="3"/>
        <v>2.5436223519105692</v>
      </c>
      <c r="G30" s="76">
        <f t="shared" si="4"/>
        <v>3.0919250332987973</v>
      </c>
      <c r="H30" s="75"/>
    </row>
    <row r="31" spans="1:16">
      <c r="A31" s="74">
        <f t="shared" si="6"/>
        <v>58.465148915443471</v>
      </c>
      <c r="B31" s="75">
        <f t="shared" si="5"/>
        <v>367161.13518898498</v>
      </c>
      <c r="C31" s="76">
        <f t="shared" si="0"/>
        <v>1.4200252142729639</v>
      </c>
      <c r="D31" s="76">
        <f t="shared" si="1"/>
        <v>1.6765366501632097</v>
      </c>
      <c r="E31" s="76">
        <f t="shared" si="2"/>
        <v>2.0130285261393852</v>
      </c>
      <c r="F31" s="76">
        <f t="shared" si="3"/>
        <v>2.4331133559917562</v>
      </c>
      <c r="G31" s="76">
        <f t="shared" si="4"/>
        <v>2.8606037825579014</v>
      </c>
      <c r="H31" s="75"/>
    </row>
    <row r="32" spans="1:16">
      <c r="A32" s="74">
        <f t="shared" si="6"/>
        <v>59.552097186572212</v>
      </c>
      <c r="B32" s="75">
        <f t="shared" si="5"/>
        <v>373987.17033167346</v>
      </c>
      <c r="C32" s="76">
        <f t="shared" si="0"/>
        <v>1.4289164688962654</v>
      </c>
      <c r="D32" s="76">
        <f t="shared" si="1"/>
        <v>1.6691465476802287</v>
      </c>
      <c r="E32" s="76">
        <f t="shared" si="2"/>
        <v>1.9719125013005327</v>
      </c>
      <c r="F32" s="76">
        <f t="shared" si="3"/>
        <v>2.3281767175649142</v>
      </c>
      <c r="G32" s="76">
        <f t="shared" si="4"/>
        <v>2.6642783920565085</v>
      </c>
      <c r="H32" s="75"/>
    </row>
    <row r="33" spans="1:8">
      <c r="A33" s="74">
        <f t="shared" si="6"/>
        <v>60.659253334804255</v>
      </c>
      <c r="B33" s="75">
        <f t="shared" si="5"/>
        <v>380940.11094257073</v>
      </c>
      <c r="C33" s="76">
        <f t="shared" si="0"/>
        <v>1.4350206852697085</v>
      </c>
      <c r="D33" s="76">
        <f t="shared" si="1"/>
        <v>1.6582190233664649</v>
      </c>
      <c r="E33" s="76">
        <f t="shared" si="2"/>
        <v>1.9286332610836414</v>
      </c>
      <c r="F33" s="76">
        <f t="shared" si="3"/>
        <v>2.2299091945346943</v>
      </c>
      <c r="G33" s="76">
        <f t="shared" si="4"/>
        <v>2.4963865431973984</v>
      </c>
      <c r="H33" s="75"/>
    </row>
    <row r="34" spans="1:8">
      <c r="A34" s="74">
        <f t="shared" si="6"/>
        <v>61.786993052624581</v>
      </c>
      <c r="B34" s="75">
        <f t="shared" si="5"/>
        <v>388022.31637048238</v>
      </c>
      <c r="C34" s="76">
        <f t="shared" si="0"/>
        <v>1.4384914434954148</v>
      </c>
      <c r="D34" s="76">
        <f t="shared" si="1"/>
        <v>1.6443291964725302</v>
      </c>
      <c r="E34" s="76">
        <f t="shared" si="2"/>
        <v>1.8843339198137692</v>
      </c>
      <c r="F34" s="76">
        <f t="shared" si="3"/>
        <v>2.1387079919389165</v>
      </c>
      <c r="G34" s="76">
        <f t="shared" si="4"/>
        <v>2.3516873453102018</v>
      </c>
      <c r="H34" s="75"/>
    </row>
    <row r="35" spans="1:8">
      <c r="A35" s="74">
        <f t="shared" si="6"/>
        <v>62.935699017162946</v>
      </c>
      <c r="B35" s="75">
        <f t="shared" si="5"/>
        <v>395236.18982778332</v>
      </c>
      <c r="C35" s="76">
        <f t="shared" si="0"/>
        <v>1.4395131538897554</v>
      </c>
      <c r="D35" s="76">
        <f t="shared" si="1"/>
        <v>1.628029753367273</v>
      </c>
      <c r="E35" s="76">
        <f t="shared" si="2"/>
        <v>1.8399074421404427</v>
      </c>
      <c r="F35" s="76">
        <f t="shared" si="3"/>
        <v>2.0545350316950537</v>
      </c>
      <c r="G35" s="76">
        <f t="shared" si="4"/>
        <v>2.2260298590628103</v>
      </c>
      <c r="H35" s="75"/>
    </row>
    <row r="36" spans="1:8">
      <c r="A36" s="74">
        <f t="shared" si="6"/>
        <v>64.105761020048121</v>
      </c>
      <c r="B36" s="75">
        <f t="shared" si="5"/>
        <v>402584.17920590221</v>
      </c>
      <c r="C36" s="76">
        <f t="shared" si="0"/>
        <v>1.4382917717351626</v>
      </c>
      <c r="D36" s="76">
        <f t="shared" si="1"/>
        <v>1.6098333004256442</v>
      </c>
      <c r="E36" s="76">
        <f t="shared" si="2"/>
        <v>1.7960257394946579</v>
      </c>
      <c r="F36" s="76">
        <f t="shared" si="3"/>
        <v>1.9770991009091998</v>
      </c>
      <c r="G36" s="76">
        <f t="shared" si="4"/>
        <v>2.1161261623711716</v>
      </c>
      <c r="H36" s="75"/>
    </row>
    <row r="37" spans="1:8">
      <c r="A37" s="74">
        <f t="shared" si="6"/>
        <v>65.29757609967632</v>
      </c>
      <c r="B37" s="75">
        <f t="shared" si="5"/>
        <v>410068.77790596726</v>
      </c>
      <c r="C37" s="76">
        <f t="shared" si="0"/>
        <v>1.4350459343125772</v>
      </c>
      <c r="D37" s="76">
        <f t="shared" si="1"/>
        <v>1.5902014303517467</v>
      </c>
      <c r="E37" s="76">
        <f t="shared" si="2"/>
        <v>1.7531750279512746</v>
      </c>
      <c r="F37" s="76">
        <f t="shared" si="3"/>
        <v>1.9059754495372343</v>
      </c>
      <c r="G37" s="76">
        <f t="shared" si="4"/>
        <v>2.0193606723169846</v>
      </c>
      <c r="H37" s="75"/>
    </row>
    <row r="38" spans="1:8">
      <c r="A38" s="74">
        <f t="shared" si="6"/>
        <v>66.511548675938627</v>
      </c>
      <c r="B38" s="75">
        <f t="shared" si="5"/>
        <v>417692.52568489459</v>
      </c>
      <c r="C38" s="76">
        <f t="shared" si="0"/>
        <v>1.4299989955814045</v>
      </c>
      <c r="D38" s="76">
        <f t="shared" si="1"/>
        <v>1.5695394420304851</v>
      </c>
      <c r="E38" s="76">
        <f t="shared" si="2"/>
        <v>1.7116913670772897</v>
      </c>
      <c r="F38" s="76">
        <f t="shared" si="3"/>
        <v>1.8406812623418438</v>
      </c>
      <c r="G38" s="76">
        <f t="shared" si="4"/>
        <v>1.9336392385219741</v>
      </c>
      <c r="H38" s="75"/>
    </row>
    <row r="39" spans="1:8">
      <c r="A39" s="74">
        <f t="shared" si="6"/>
        <v>67.748090687453285</v>
      </c>
      <c r="B39" s="75">
        <f t="shared" si="5"/>
        <v>425458.00951720664</v>
      </c>
      <c r="C39" s="76">
        <f t="shared" ref="C39:C70" si="7">(B39/wo)^2*SQRT(Ma*(Ma-1))/SQRT((1-B39^2/wp^2)^2+(B39/wo)^2*(1-B39^2/wo^2)^2*(Ma*Q)^2)/IF(answer,1,MC)</f>
        <v>1.4233722603722379</v>
      </c>
      <c r="D39" s="76">
        <f t="shared" ref="D39:D70" si="8">(B39/wo)^2*SQRT(Ma*(Ma-1))/SQRT((1-B39^2/wp^2)^2+(B39/wo)^2*(1-B39^2/wo^2)^2*(Ma*(Q*0.8))^2)/IF(answer,1,MC)</f>
        <v>1.5481954222645051</v>
      </c>
      <c r="E39" s="76">
        <f t="shared" ref="E39:E70" si="9">(B39/wo)^2*SQRT(Ma*(Ma-1))/SQRT((1-B39^2/wp^2)^2+(B39/wo)^2*(1-B39^2/wo^2)^2*(Ma*(Q*0.6))^2)/IF(answer,1,MC)</f>
        <v>1.6717930243822561</v>
      </c>
      <c r="F39" s="76">
        <f t="shared" ref="F39:F70" si="10">(B39/wo)^2*SQRT(Ma*(Ma-1))/SQRT((1-B39^2/wp^2)^2+(B39/wo)^2*(1-B39^2/wo^2)^2*(Ma*(Q*0.4))^2)/IF(answer,1,MC)</f>
        <v>1.7807214529078976</v>
      </c>
      <c r="G39" s="76">
        <f t="shared" ref="G39:G70" si="11">(B39/wo)^2*SQRT(Ma*(Ma-1))/SQRT((1-B39^2/wp^2)^2+(B39/wo)^2*(1-B39^2/wo^2)^2*(Ma*(Q*0.2))^2)/IF(answer,1,MC)</f>
        <v>1.8572727117826568</v>
      </c>
      <c r="H39" s="75"/>
    </row>
    <row r="40" spans="1:8">
      <c r="A40" s="74">
        <f t="shared" si="6"/>
        <v>69.007621731349232</v>
      </c>
      <c r="B40" s="75">
        <f t="shared" si="5"/>
        <v>433367.86447287316</v>
      </c>
      <c r="C40" s="76">
        <f t="shared" si="7"/>
        <v>1.4153795578100978</v>
      </c>
      <c r="D40" s="76">
        <f t="shared" si="8"/>
        <v>1.5264624139258769</v>
      </c>
      <c r="E40" s="76">
        <f t="shared" si="9"/>
        <v>1.6336081991930531</v>
      </c>
      <c r="F40" s="76">
        <f t="shared" si="10"/>
        <v>1.7256151465524965</v>
      </c>
      <c r="G40" s="76">
        <f t="shared" si="11"/>
        <v>1.7888879827166362</v>
      </c>
      <c r="H40" s="75"/>
    </row>
    <row r="41" spans="1:8">
      <c r="A41" s="74">
        <f t="shared" si="6"/>
        <v>70.290569205648453</v>
      </c>
      <c r="B41" s="75">
        <f t="shared" si="5"/>
        <v>441424.77461147227</v>
      </c>
      <c r="C41" s="76">
        <f t="shared" si="7"/>
        <v>1.4062231598229</v>
      </c>
      <c r="D41" s="76">
        <f t="shared" si="8"/>
        <v>1.5045825567144488</v>
      </c>
      <c r="E41" s="76">
        <f t="shared" si="9"/>
        <v>1.5971978018073345</v>
      </c>
      <c r="F41" s="76">
        <f t="shared" si="10"/>
        <v>1.6749099221737003</v>
      </c>
      <c r="G41" s="76">
        <f t="shared" si="11"/>
        <v>1.7273601276335104</v>
      </c>
      <c r="H41" s="75"/>
    </row>
    <row r="42" spans="1:8">
      <c r="A42" s="74">
        <f t="shared" si="6"/>
        <v>71.59736845429542</v>
      </c>
      <c r="B42" s="75">
        <f t="shared" si="5"/>
        <v>449631.47389297525</v>
      </c>
      <c r="C42" s="76">
        <f t="shared" si="7"/>
        <v>1.3960909526493861</v>
      </c>
      <c r="D42" s="76">
        <f t="shared" si="8"/>
        <v>1.4827523108747009</v>
      </c>
      <c r="E42" s="76">
        <f t="shared" si="9"/>
        <v>1.5625736133835475</v>
      </c>
      <c r="F42" s="76">
        <f t="shared" si="10"/>
        <v>1.6281884825763497</v>
      </c>
      <c r="G42" s="76">
        <f t="shared" si="11"/>
        <v>1.6717605202925456</v>
      </c>
      <c r="H42" s="75"/>
    </row>
    <row r="43" spans="1:8">
      <c r="A43" s="74">
        <f t="shared" si="6"/>
        <v>72.928462914882815</v>
      </c>
      <c r="B43" s="75">
        <f t="shared" si="5"/>
        <v>457990.74710546405</v>
      </c>
      <c r="C43" s="76">
        <f t="shared" si="7"/>
        <v>1.3851547074115493</v>
      </c>
      <c r="D43" s="76">
        <f t="shared" si="8"/>
        <v>1.4611281046993694</v>
      </c>
      <c r="E43" s="76">
        <f t="shared" si="9"/>
        <v>1.5297124344013406</v>
      </c>
      <c r="F43" s="76">
        <f t="shared" si="10"/>
        <v>1.5850707698291384</v>
      </c>
      <c r="G43" s="76">
        <f t="shared" si="11"/>
        <v>1.6213169558926901</v>
      </c>
      <c r="H43" s="75"/>
    </row>
    <row r="44" spans="1:8">
      <c r="A44" s="74">
        <f t="shared" si="6"/>
        <v>74.284304269123666</v>
      </c>
      <c r="B44" s="75">
        <f t="shared" si="5"/>
        <v>466505.43081009662</v>
      </c>
      <c r="C44" s="76">
        <f t="shared" si="7"/>
        <v>1.3735692653515506</v>
      </c>
      <c r="D44" s="76">
        <f t="shared" si="8"/>
        <v>1.4398319517730844</v>
      </c>
      <c r="E44" s="76">
        <f t="shared" si="9"/>
        <v>1.4985669067651215</v>
      </c>
      <c r="F44" s="76">
        <f t="shared" si="10"/>
        <v>1.5452134411420158</v>
      </c>
      <c r="G44" s="76">
        <f t="shared" si="11"/>
        <v>1.5753828145865019</v>
      </c>
      <c r="H44" s="75"/>
    </row>
    <row r="45" spans="1:8">
      <c r="A45" s="74">
        <f t="shared" si="6"/>
        <v>75.665352596121039</v>
      </c>
      <c r="B45" s="75">
        <f t="shared" si="5"/>
        <v>475178.41430364014</v>
      </c>
      <c r="C45" s="76">
        <f t="shared" si="7"/>
        <v>1.3614724471727877</v>
      </c>
      <c r="D45" s="76">
        <f t="shared" si="8"/>
        <v>1.4189567502405671</v>
      </c>
      <c r="E45" s="76">
        <f t="shared" si="9"/>
        <v>1.4690736631413333</v>
      </c>
      <c r="F45" s="76">
        <f t="shared" si="10"/>
        <v>1.508307902686689</v>
      </c>
      <c r="G45" s="76">
        <f t="shared" si="11"/>
        <v>1.5334130503179517</v>
      </c>
      <c r="H45" s="75"/>
    </row>
    <row r="46" spans="1:8">
      <c r="A46" s="74">
        <f t="shared" si="6"/>
        <v>77.072076528487102</v>
      </c>
      <c r="B46" s="75">
        <f t="shared" si="5"/>
        <v>484012.64059889899</v>
      </c>
      <c r="C46" s="76">
        <f t="shared" si="7"/>
        <v>1.3489855065518153</v>
      </c>
      <c r="D46" s="76">
        <f t="shared" si="8"/>
        <v>1.3985711020328215</v>
      </c>
      <c r="E46" s="76">
        <f t="shared" si="9"/>
        <v>1.4411593766893209</v>
      </c>
      <c r="F46" s="76">
        <f t="shared" si="10"/>
        <v>1.4740776372454905</v>
      </c>
      <c r="G46" s="76">
        <f t="shared" si="11"/>
        <v>1.4949453597172839</v>
      </c>
      <c r="H46" s="75"/>
    </row>
    <row r="47" spans="1:8">
      <c r="A47" s="74">
        <f t="shared" si="6"/>
        <v>78.504953411364795</v>
      </c>
      <c r="B47" s="75">
        <f t="shared" si="5"/>
        <v>493011.10742337094</v>
      </c>
      <c r="C47" s="76">
        <f t="shared" si="7"/>
        <v>1.3362139685731962</v>
      </c>
      <c r="D47" s="76">
        <f t="shared" si="8"/>
        <v>1.3787235792346617</v>
      </c>
      <c r="E47" s="76">
        <f t="shared" si="9"/>
        <v>1.4147451890934553</v>
      </c>
      <c r="F47" s="76">
        <f t="shared" si="10"/>
        <v>1.44227526819801</v>
      </c>
      <c r="G47" s="76">
        <f t="shared" si="11"/>
        <v>1.4595853066097328</v>
      </c>
      <c r="H47" s="75"/>
    </row>
    <row r="48" spans="1:8">
      <c r="A48" s="74">
        <f t="shared" si="6"/>
        <v>79.964469464405838</v>
      </c>
      <c r="B48" s="75">
        <f t="shared" si="5"/>
        <v>502176.86823646864</v>
      </c>
      <c r="C48" s="76">
        <f t="shared" si="7"/>
        <v>1.3232487192351081</v>
      </c>
      <c r="D48" s="76">
        <f t="shared" si="8"/>
        <v>1.3594464244061033</v>
      </c>
      <c r="E48" s="76">
        <f t="shared" si="9"/>
        <v>1.3897499024447943</v>
      </c>
      <c r="F48" s="76">
        <f t="shared" si="10"/>
        <v>1.4126796177134724</v>
      </c>
      <c r="G48" s="76">
        <f t="shared" si="11"/>
        <v>1.4269944873240223</v>
      </c>
      <c r="H48" s="75"/>
    </row>
    <row r="49" spans="1:8">
      <c r="A49" s="74">
        <f t="shared" si="6"/>
        <v>81.451119946760187</v>
      </c>
      <c r="B49" s="75">
        <f t="shared" si="5"/>
        <v>511513.033265654</v>
      </c>
      <c r="C49" s="76">
        <f t="shared" si="7"/>
        <v>1.3101672384458485</v>
      </c>
      <c r="D49" s="76">
        <f t="shared" si="8"/>
        <v>1.340758708770893</v>
      </c>
      <c r="E49" s="76">
        <f t="shared" si="9"/>
        <v>1.3660922389914423</v>
      </c>
      <c r="F49" s="76">
        <f t="shared" si="10"/>
        <v>1.3850929020368183</v>
      </c>
      <c r="G49" s="76">
        <f t="shared" si="11"/>
        <v>1.3968810497158888</v>
      </c>
      <c r="H49" s="75"/>
    </row>
    <row r="50" spans="1:8">
      <c r="A50" s="74">
        <f t="shared" si="6"/>
        <v>82.965409325132825</v>
      </c>
      <c r="B50" s="75">
        <f t="shared" si="5"/>
        <v>521022.77056183416</v>
      </c>
      <c r="C50" s="76">
        <f t="shared" si="7"/>
        <v>1.2970348936164489</v>
      </c>
      <c r="D50" s="76">
        <f t="shared" si="8"/>
        <v>1.3226689930662163</v>
      </c>
      <c r="E50" s="76">
        <f t="shared" si="9"/>
        <v>1.3436924045857943</v>
      </c>
      <c r="F50" s="76">
        <f t="shared" si="10"/>
        <v>1.3593381360986525</v>
      </c>
      <c r="G50" s="76">
        <f t="shared" si="11"/>
        <v>1.3689920467374868</v>
      </c>
      <c r="H50" s="75"/>
    </row>
    <row r="51" spans="1:8">
      <c r="A51" s="74">
        <f t="shared" si="6"/>
        <v>84.507851444965013</v>
      </c>
      <c r="B51" s="75">
        <f t="shared" si="5"/>
        <v>530709.30707438022</v>
      </c>
      <c r="C51" s="76">
        <f t="shared" si="7"/>
        <v>1.2839062326863977</v>
      </c>
      <c r="D51" s="76">
        <f t="shared" si="8"/>
        <v>1.3051775456214931</v>
      </c>
      <c r="E51" s="76">
        <f t="shared" si="9"/>
        <v>1.3224731365444802</v>
      </c>
      <c r="F51" s="76">
        <f t="shared" si="10"/>
        <v>1.3352567770507799</v>
      </c>
      <c r="G51" s="76">
        <f t="shared" si="11"/>
        <v>1.3431072297247058</v>
      </c>
      <c r="H51" s="75"/>
    </row>
    <row r="52" spans="1:8">
      <c r="A52" s="74">
        <f t="shared" si="6"/>
        <v>86.078969704798013</v>
      </c>
      <c r="B52" s="75">
        <f t="shared" si="5"/>
        <v>540575.92974613153</v>
      </c>
      <c r="C52" s="76">
        <f t="shared" si="7"/>
        <v>1.2708262336307001</v>
      </c>
      <c r="D52" s="76">
        <f t="shared" si="8"/>
        <v>1.2882781747891456</v>
      </c>
      <c r="E52" s="76">
        <f t="shared" si="9"/>
        <v>1.3023603731140039</v>
      </c>
      <c r="F52" s="76">
        <f t="shared" si="10"/>
        <v>1.3127066113122234</v>
      </c>
      <c r="G52" s="76">
        <f t="shared" si="11"/>
        <v>1.3190339791391359</v>
      </c>
      <c r="H52" s="75"/>
    </row>
    <row r="53" spans="1:8">
      <c r="A53" s="74">
        <f t="shared" si="6"/>
        <v>87.679297233878486</v>
      </c>
      <c r="B53" s="75">
        <f t="shared" si="5"/>
        <v>550625.98662875686</v>
      </c>
      <c r="C53" s="76">
        <f t="shared" si="7"/>
        <v>1.2578314821490804</v>
      </c>
      <c r="D53" s="76">
        <f t="shared" si="8"/>
        <v>1.2719597309995403</v>
      </c>
      <c r="E53" s="76">
        <f t="shared" si="9"/>
        <v>1.2832836479184722</v>
      </c>
      <c r="F53" s="76">
        <f t="shared" si="10"/>
        <v>1.2915598756701823</v>
      </c>
      <c r="G53" s="76">
        <f t="shared" si="11"/>
        <v>1.2966031398193383</v>
      </c>
      <c r="H53" s="75"/>
    </row>
    <row r="54" spans="1:8">
      <c r="A54" s="74">
        <f t="shared" si="6"/>
        <v>89.309377073065775</v>
      </c>
      <c r="B54" s="75">
        <f t="shared" si="5"/>
        <v>560862.88801885303</v>
      </c>
      <c r="C54" s="76">
        <f t="shared" si="7"/>
        <v>1.2449512606079973</v>
      </c>
      <c r="D54" s="76">
        <f t="shared" si="8"/>
        <v>1.2562073294060117</v>
      </c>
      <c r="E54" s="76">
        <f t="shared" si="9"/>
        <v>1.2651762867969083</v>
      </c>
      <c r="F54" s="76">
        <f t="shared" si="10"/>
        <v>1.2717015957046902</v>
      </c>
      <c r="G54" s="76">
        <f t="shared" si="11"/>
        <v>1.2756655800305612</v>
      </c>
      <c r="H54" s="75"/>
    </row>
    <row r="55" spans="1:8">
      <c r="A55" s="74">
        <f t="shared" si="6"/>
        <v>90.969762359102589</v>
      </c>
      <c r="B55" s="75">
        <f t="shared" si="5"/>
        <v>571290.10761516425</v>
      </c>
      <c r="C55" s="76">
        <f t="shared" si="7"/>
        <v>1.2322085398266145</v>
      </c>
      <c r="D55" s="76">
        <f t="shared" si="8"/>
        <v>1.2410033386204042</v>
      </c>
      <c r="E55" s="76">
        <f t="shared" si="9"/>
        <v>1.2479754646670951</v>
      </c>
      <c r="F55" s="76">
        <f t="shared" si="10"/>
        <v>1.2530281216312655</v>
      </c>
      <c r="G55" s="76">
        <f t="shared" si="11"/>
        <v>1.2560893332154237</v>
      </c>
      <c r="H55" s="75"/>
    </row>
    <row r="56" spans="1:8">
      <c r="A56" s="74">
        <f t="shared" si="6"/>
        <v>92.661016512311463</v>
      </c>
      <c r="B56" s="75">
        <f t="shared" si="5"/>
        <v>581911.18369731598</v>
      </c>
      <c r="C56" s="76">
        <f t="shared" si="7"/>
        <v>1.2196208714540153</v>
      </c>
      <c r="D56" s="76">
        <f t="shared" si="8"/>
        <v>1.2263281752382618</v>
      </c>
      <c r="E56" s="76">
        <f t="shared" si="9"/>
        <v>1.2316221650994041</v>
      </c>
      <c r="F56" s="76">
        <f t="shared" si="10"/>
        <v>1.235445840906058</v>
      </c>
      <c r="G56" s="76">
        <f t="shared" si="11"/>
        <v>1.2377572115829056</v>
      </c>
      <c r="H56" s="75"/>
    </row>
    <row r="57" spans="1:8">
      <c r="A57" s="74">
        <f t="shared" si="6"/>
        <v>94.383713427780776</v>
      </c>
      <c r="B57" s="75">
        <f t="shared" si="5"/>
        <v>592729.72032646323</v>
      </c>
      <c r="C57" s="76">
        <f t="shared" si="7"/>
        <v>1.2072011829493674</v>
      </c>
      <c r="D57" s="76">
        <f t="shared" si="8"/>
        <v>1.21216093820924</v>
      </c>
      <c r="E57" s="76">
        <f t="shared" si="9"/>
        <v>1.2160610740315767</v>
      </c>
      <c r="F57" s="76">
        <f t="shared" si="10"/>
        <v>1.2188700475649425</v>
      </c>
      <c r="G57" s="76">
        <f t="shared" si="11"/>
        <v>1.2205648038964934</v>
      </c>
      <c r="H57" s="75"/>
    </row>
    <row r="58" spans="1:8">
      <c r="A58" s="74">
        <f t="shared" si="6"/>
        <v>96.138437670105205</v>
      </c>
      <c r="B58" s="75">
        <f t="shared" si="5"/>
        <v>603749.38856826071</v>
      </c>
      <c r="C58" s="76">
        <f t="shared" si="7"/>
        <v>1.1949584799742285</v>
      </c>
      <c r="D58" s="76">
        <f t="shared" si="8"/>
        <v>1.1984799118940048</v>
      </c>
      <c r="E58" s="76">
        <f t="shared" si="9"/>
        <v>1.2012404306229496</v>
      </c>
      <c r="F58" s="76">
        <f t="shared" si="10"/>
        <v>1.2032239496230002</v>
      </c>
      <c r="G58" s="76">
        <f t="shared" si="11"/>
        <v>1.2044187877717933</v>
      </c>
      <c r="H58" s="75"/>
    </row>
    <row r="59" spans="1:8">
      <c r="A59" s="74">
        <f t="shared" si="6"/>
        <v>97.925784671746655</v>
      </c>
      <c r="B59" s="75">
        <f t="shared" si="5"/>
        <v>614973.92773856898</v>
      </c>
      <c r="C59" s="76">
        <f t="shared" si="7"/>
        <v>1.1828984626988466</v>
      </c>
      <c r="D59" s="76">
        <f t="shared" si="8"/>
        <v>1.185262961991169</v>
      </c>
      <c r="E59" s="76">
        <f t="shared" si="9"/>
        <v>1.1871118519501251</v>
      </c>
      <c r="F59" s="76">
        <f t="shared" si="10"/>
        <v>1.1884377975486156</v>
      </c>
      <c r="G59" s="76">
        <f t="shared" si="11"/>
        <v>1.1892355007517545</v>
      </c>
      <c r="H59" s="75"/>
    </row>
    <row r="60" spans="1:8">
      <c r="A60" s="74">
        <f t="shared" si="6"/>
        <v>99.74636093508299</v>
      </c>
      <c r="B60" s="75">
        <f t="shared" si="5"/>
        <v>626407.14667232113</v>
      </c>
      <c r="C60" s="76">
        <f t="shared" si="7"/>
        <v>1.1710240634085214</v>
      </c>
      <c r="D60" s="76">
        <f t="shared" si="8"/>
        <v>1.1724878444540341</v>
      </c>
      <c r="E60" s="76">
        <f t="shared" si="9"/>
        <v>1.1736301435599708</v>
      </c>
      <c r="F60" s="76">
        <f t="shared" si="10"/>
        <v>1.1744481186113649</v>
      </c>
      <c r="G60" s="76">
        <f t="shared" si="11"/>
        <v>1.1749397253456817</v>
      </c>
      <c r="H60" s="75"/>
    </row>
    <row r="61" spans="1:8">
      <c r="A61" s="74">
        <f t="shared" si="6"/>
        <v>101.60078423821312</v>
      </c>
      <c r="B61" s="75">
        <f t="shared" si="5"/>
        <v>638052.9250159784</v>
      </c>
      <c r="C61" s="76">
        <f t="shared" si="7"/>
        <v>1.1593359131071972</v>
      </c>
      <c r="D61" s="76">
        <f t="shared" si="8"/>
        <v>1.1601324440316172</v>
      </c>
      <c r="E61" s="76">
        <f t="shared" si="9"/>
        <v>1.1607531044200421</v>
      </c>
      <c r="F61" s="76">
        <f t="shared" si="10"/>
        <v>1.1611970436500683</v>
      </c>
      <c r="G61" s="76">
        <f t="shared" si="11"/>
        <v>1.1614636518076611</v>
      </c>
      <c r="H61" s="75"/>
    </row>
    <row r="62" spans="1:8">
      <c r="A62" s="74">
        <f t="shared" si="6"/>
        <v>103.48968384458834</v>
      </c>
      <c r="B62" s="75">
        <f t="shared" si="5"/>
        <v>649915.21454401477</v>
      </c>
      <c r="C62" s="76">
        <f t="shared" si="7"/>
        <v>1.1478327447349346</v>
      </c>
      <c r="D62" s="76">
        <f t="shared" si="8"/>
        <v>1.1481749561171906</v>
      </c>
      <c r="E62" s="76">
        <f t="shared" si="9"/>
        <v>1.1484413322376787</v>
      </c>
      <c r="F62" s="76">
        <f t="shared" si="10"/>
        <v>1.1486317144439575</v>
      </c>
      <c r="G62" s="76">
        <f t="shared" si="11"/>
        <v>1.1487459892248946</v>
      </c>
      <c r="H62" s="75"/>
    </row>
    <row r="63" spans="1:8">
      <c r="A63" s="74">
        <f t="shared" si="6"/>
        <v>105.41370071654096</v>
      </c>
      <c r="B63" s="75">
        <f t="shared" si="5"/>
        <v>661998.04049987718</v>
      </c>
      <c r="C63" s="76">
        <f t="shared" si="7"/>
        <v>1.1365117402806835</v>
      </c>
      <c r="D63" s="76">
        <f t="shared" si="8"/>
        <v>1.1365940231129525</v>
      </c>
      <c r="E63" s="76">
        <f t="shared" si="9"/>
        <v>1.1366580332285834</v>
      </c>
      <c r="F63" s="76">
        <f t="shared" si="10"/>
        <v>1.1367037613615405</v>
      </c>
      <c r="G63" s="76">
        <f t="shared" si="11"/>
        <v>1.1367312008905643</v>
      </c>
      <c r="H63" s="75"/>
    </row>
    <row r="64" spans="1:8">
      <c r="A64" s="74">
        <f t="shared" si="6"/>
        <v>107.37348773278271</v>
      </c>
      <c r="B64" s="75">
        <f t="shared" si="5"/>
        <v>674305.50296187541</v>
      </c>
      <c r="C64" s="76">
        <f t="shared" si="7"/>
        <v>1.1253688285824552</v>
      </c>
      <c r="D64" s="76">
        <f t="shared" si="8"/>
        <v>1.1253688344600581</v>
      </c>
      <c r="E64" s="76">
        <f t="shared" si="9"/>
        <v>1.1253688390315271</v>
      </c>
      <c r="F64" s="76">
        <f t="shared" si="10"/>
        <v>1.1253688422968622</v>
      </c>
      <c r="G64" s="76">
        <f t="shared" si="11"/>
        <v>1.1253688442560634</v>
      </c>
      <c r="H64" s="75"/>
    </row>
    <row r="65" spans="1:8">
      <c r="A65" s="74">
        <f t="shared" si="6"/>
        <v>109.36970990994682</v>
      </c>
      <c r="B65" s="75">
        <f t="shared" si="5"/>
        <v>686841.77823446598</v>
      </c>
      <c r="C65" s="76">
        <f t="shared" si="7"/>
        <v>1.1143989400358094</v>
      </c>
      <c r="D65" s="76">
        <f t="shared" si="8"/>
        <v>1.1144791977795809</v>
      </c>
      <c r="E65" s="76">
        <f t="shared" si="9"/>
        <v>1.1145416324588844</v>
      </c>
      <c r="F65" s="76">
        <f t="shared" si="10"/>
        <v>1.1145862350832416</v>
      </c>
      <c r="G65" s="76">
        <f t="shared" si="11"/>
        <v>1.114612999228312</v>
      </c>
      <c r="H65" s="75"/>
    </row>
    <row r="66" spans="1:8">
      <c r="A66" s="74">
        <f t="shared" si="6"/>
        <v>111.40304462824884</v>
      </c>
      <c r="B66" s="75">
        <f t="shared" si="5"/>
        <v>699611.12026540271</v>
      </c>
      <c r="C66" s="76">
        <f t="shared" si="7"/>
        <v>1.1035962238289796</v>
      </c>
      <c r="D66" s="76">
        <f t="shared" si="8"/>
        <v>1.1039055871672021</v>
      </c>
      <c r="E66" s="76">
        <f t="shared" si="9"/>
        <v>1.1041463830462432</v>
      </c>
      <c r="F66" s="76">
        <f t="shared" si="10"/>
        <v>1.1043184766092928</v>
      </c>
      <c r="G66" s="76">
        <f t="shared" si="11"/>
        <v>1.1044217713798485</v>
      </c>
      <c r="H66" s="75"/>
    </row>
    <row r="67" spans="1:8">
      <c r="A67" s="74">
        <f t="shared" si="6"/>
        <v>113.47418186134271</v>
      </c>
      <c r="B67" s="75">
        <f t="shared" si="5"/>
        <v>712617.86208923219</v>
      </c>
      <c r="C67" s="76">
        <f t="shared" si="7"/>
        <v>1.0929542327229544</v>
      </c>
      <c r="D67" s="76">
        <f t="shared" si="8"/>
        <v>1.0936291735337071</v>
      </c>
      <c r="E67" s="76">
        <f t="shared" si="9"/>
        <v>1.0941549928459435</v>
      </c>
      <c r="F67" s="76">
        <f t="shared" si="10"/>
        <v>1.0945310427636672</v>
      </c>
      <c r="G67" s="76">
        <f t="shared" si="11"/>
        <v>1.0947568589117411</v>
      </c>
      <c r="H67" s="75"/>
    </row>
    <row r="68" spans="1:8">
      <c r="A68" s="74">
        <f t="shared" si="6"/>
        <v>115.58382441045036</v>
      </c>
      <c r="B68" s="75">
        <f t="shared" si="5"/>
        <v>725866.41729762824</v>
      </c>
      <c r="C68" s="76">
        <f t="shared" si="7"/>
        <v>1.0824660798192753</v>
      </c>
      <c r="D68" s="76">
        <f t="shared" si="8"/>
        <v>1.0836318409422199</v>
      </c>
      <c r="E68" s="76">
        <f t="shared" si="9"/>
        <v>1.084541152544878</v>
      </c>
      <c r="F68" s="76">
        <f t="shared" si="10"/>
        <v>1.0851920641173323</v>
      </c>
      <c r="G68" s="76">
        <f t="shared" si="11"/>
        <v>1.0855831740604487</v>
      </c>
      <c r="H68" s="75"/>
    </row>
    <row r="69" spans="1:8">
      <c r="A69" s="74">
        <f t="shared" si="6"/>
        <v>117.73268814284395</v>
      </c>
      <c r="B69" s="75">
        <f t="shared" si="5"/>
        <v>739361.28153706004</v>
      </c>
      <c r="C69" s="76">
        <f t="shared" si="7"/>
        <v>1.0721245712205043</v>
      </c>
      <c r="D69" s="76">
        <f t="shared" si="8"/>
        <v>1.0738961921253039</v>
      </c>
      <c r="E69" s="76">
        <f t="shared" si="9"/>
        <v>1.0752802077358714</v>
      </c>
      <c r="F69" s="76">
        <f t="shared" si="10"/>
        <v>1.0762720729292981</v>
      </c>
      <c r="G69" s="76">
        <f t="shared" si="11"/>
        <v>1.0768685111541503</v>
      </c>
      <c r="H69" s="75"/>
    </row>
    <row r="70" spans="1:8">
      <c r="A70" s="74">
        <f t="shared" si="6"/>
        <v>119.92150223476189</v>
      </c>
      <c r="B70" s="75">
        <f t="shared" si="5"/>
        <v>753107.03403430467</v>
      </c>
      <c r="C70" s="76">
        <f t="shared" si="7"/>
        <v>1.0619223179951178</v>
      </c>
      <c r="D70" s="76">
        <f t="shared" si="8"/>
        <v>1.0644055457398629</v>
      </c>
      <c r="E70" s="76">
        <f t="shared" si="9"/>
        <v>1.0663490350041651</v>
      </c>
      <c r="F70" s="76">
        <f t="shared" si="10"/>
        <v>1.0677437776465322</v>
      </c>
      <c r="G70" s="76">
        <f t="shared" si="11"/>
        <v>1.0685832547680676</v>
      </c>
      <c r="H70" s="75"/>
    </row>
    <row r="71" spans="1:8">
      <c r="A71" s="74">
        <f t="shared" si="6"/>
        <v>122.15100941884099</v>
      </c>
      <c r="B71" s="75">
        <f t="shared" si="5"/>
        <v>767108.33915032144</v>
      </c>
      <c r="C71" s="76">
        <f t="shared" ref="C71:C102" si="12">(B71/wo)^2*SQRT(Ma*(Ma-1))/SQRT((1-B71^2/wp^2)^2+(B71/wo)^2*(1-B71^2/wo^2)^2*(Ma*Q)^2)/IF(answer,1,MC)</f>
        <v>1.0518518304128863</v>
      </c>
      <c r="D71" s="76">
        <f t="shared" ref="D71:D102" si="13">(B71/wo)^2*SQRT(Ma*(Ma-1))/SQRT((1-B71^2/wp^2)^2+(B71/wo)^2*(1-B71^2/wo^2)^2*(Ma*(Q*0.8))^2)/IF(answer,1,MC)</f>
        <v>1.0551439274095979</v>
      </c>
      <c r="E71" s="76">
        <f t="shared" ref="E71:E102" si="14">(B71/wo)^2*SQRT(Ma*(Ma-1))/SQRT((1-B71^2/wp^2)^2+(B71/wo)^2*(1-B71^2/wo^2)^2*(Ma*(Q*0.6))^2)/IF(answer,1,MC)</f>
        <v>1.0577259273834867</v>
      </c>
      <c r="F71" s="76">
        <f t="shared" ref="F71:F102" si="15">(B71/wo)^2*SQRT(Ma*(Ma-1))/SQRT((1-B71^2/wp^2)^2+(B71/wo)^2*(1-B71^2/wo^2)^2*(Ma*(Q*0.4))^2)/IF(answer,1,MC)</f>
        <v>1.059581861573502</v>
      </c>
      <c r="G71" s="76">
        <f t="shared" ref="G71:G102" si="16">(B71/wo)^2*SQRT(Ma*(Ma-1))/SQRT((1-B71^2/wp^2)^2+(B71/wo)^2*(1-B71^2/wo^2)^2*(Ma*(Q*0.2))^2)/IF(answer,1,MC)</f>
        <v>1.0607001224543233</v>
      </c>
      <c r="H71" s="75"/>
    </row>
    <row r="72" spans="1:8">
      <c r="A72" s="74">
        <f t="shared" si="6"/>
        <v>124.42196623614875</v>
      </c>
      <c r="B72" s="75">
        <f t="shared" ref="B72:B109" si="17">2000*3.14*A72</f>
        <v>781369.94796301413</v>
      </c>
      <c r="C72" s="76">
        <f t="shared" si="12"/>
        <v>1.041905597018413</v>
      </c>
      <c r="D72" s="76">
        <f t="shared" si="13"/>
        <v>1.0460960561922876</v>
      </c>
      <c r="E72" s="76">
        <f t="shared" si="14"/>
        <v>1.0493904886731273</v>
      </c>
      <c r="F72" s="76">
        <f t="shared" si="15"/>
        <v>1.0517628028220727</v>
      </c>
      <c r="G72" s="76">
        <f t="shared" si="16"/>
        <v>1.0531939373713084</v>
      </c>
      <c r="H72" s="75"/>
    </row>
    <row r="73" spans="1:8">
      <c r="A73" s="74">
        <f t="shared" ref="A73:A109" si="18">A72*10^0.008</f>
        <v>126.73514329290121</v>
      </c>
      <c r="B73" s="75">
        <f t="shared" si="17"/>
        <v>795896.69987941964</v>
      </c>
      <c r="C73" s="76">
        <f t="shared" si="12"/>
        <v>1.032076150757623</v>
      </c>
      <c r="D73" s="76">
        <f t="shared" si="13"/>
        <v>1.0372473277747727</v>
      </c>
      <c r="E73" s="76">
        <f t="shared" si="14"/>
        <v>1.0413235360758872</v>
      </c>
      <c r="F73" s="76">
        <f t="shared" si="15"/>
        <v>1.0442647130279392</v>
      </c>
      <c r="G73" s="76">
        <f t="shared" si="16"/>
        <v>1.0460414268433922</v>
      </c>
      <c r="H73" s="75"/>
    </row>
    <row r="74" spans="1:8">
      <c r="A74" s="74">
        <f t="shared" si="18"/>
        <v>129.09132552195365</v>
      </c>
      <c r="B74" s="75">
        <f t="shared" si="17"/>
        <v>810693.52427786891</v>
      </c>
      <c r="C74" s="76">
        <f t="shared" si="12"/>
        <v>1.0223561240615946</v>
      </c>
      <c r="D74" s="76">
        <f t="shared" si="13"/>
        <v>1.0285837954277683</v>
      </c>
      <c r="E74" s="76">
        <f t="shared" si="14"/>
        <v>1.0335070106074848</v>
      </c>
      <c r="F74" s="76">
        <f t="shared" si="15"/>
        <v>1.0370671926437174</v>
      </c>
      <c r="G74" s="76">
        <f t="shared" si="16"/>
        <v>1.0392210434704514</v>
      </c>
      <c r="H74" s="75"/>
    </row>
    <row r="75" spans="1:8">
      <c r="A75" s="74">
        <f t="shared" si="18"/>
        <v>131.49131244915262</v>
      </c>
      <c r="B75" s="75">
        <f t="shared" si="17"/>
        <v>825765.44218067848</v>
      </c>
      <c r="C75" s="76">
        <f t="shared" si="12"/>
        <v>1.0127382945207009</v>
      </c>
      <c r="D75" s="76">
        <f t="shared" si="13"/>
        <v>1.0200921495336177</v>
      </c>
      <c r="E75" s="76">
        <f t="shared" si="14"/>
        <v>1.025923894734182</v>
      </c>
      <c r="F75" s="76">
        <f t="shared" si="15"/>
        <v>1.0301512008984743</v>
      </c>
      <c r="G75" s="76">
        <f t="shared" si="16"/>
        <v>1.0327128058992574</v>
      </c>
      <c r="H75" s="75"/>
    </row>
    <row r="76" spans="1:8">
      <c r="A76" s="74">
        <f t="shared" si="18"/>
        <v>133.93591846463994</v>
      </c>
      <c r="B76" s="75">
        <f t="shared" si="17"/>
        <v>841117.56795793877</v>
      </c>
      <c r="C76" s="76">
        <f t="shared" si="12"/>
        <v>1.0032156225458428</v>
      </c>
      <c r="D76" s="76">
        <f t="shared" si="13"/>
        <v>1.0117596963231776</v>
      </c>
      <c r="E76" s="76">
        <f t="shared" si="14"/>
        <v>1.0185581367119692</v>
      </c>
      <c r="F76" s="76">
        <f t="shared" si="15"/>
        <v>1.0234989387551379</v>
      </c>
      <c r="G76" s="76">
        <f t="shared" si="16"/>
        <v>1.026498156782329</v>
      </c>
      <c r="H76" s="75"/>
    </row>
    <row r="77" spans="1:8">
      <c r="A77" s="74">
        <f t="shared" si="18"/>
        <v>136.4259730992006</v>
      </c>
      <c r="B77" s="75">
        <f t="shared" si="17"/>
        <v>856755.11106297979</v>
      </c>
      <c r="C77" s="76">
        <f t="shared" si="12"/>
        <v>0.99378128220883388</v>
      </c>
      <c r="D77" s="76">
        <f t="shared" si="13"/>
        <v>1.0035743363152372</v>
      </c>
      <c r="E77" s="76">
        <f t="shared" si="14"/>
        <v>1.0113945811239866</v>
      </c>
      <c r="F77" s="76">
        <f t="shared" si="15"/>
        <v>1.0170937434062233</v>
      </c>
      <c r="G77" s="76">
        <f t="shared" si="16"/>
        <v>1.020559835798184</v>
      </c>
      <c r="H77" s="75"/>
    </row>
    <row r="78" spans="1:8">
      <c r="A78" s="74">
        <f t="shared" si="18"/>
        <v>138.96232130574836</v>
      </c>
      <c r="B78" s="75">
        <f t="shared" si="17"/>
        <v>872683.37780009967</v>
      </c>
      <c r="C78" s="76">
        <f t="shared" si="12"/>
        <v>0.98442868627718438</v>
      </c>
      <c r="D78" s="76">
        <f t="shared" si="13"/>
        <v>0.99552454283678271</v>
      </c>
      <c r="E78" s="76">
        <f t="shared" si="14"/>
        <v>1.004418905140219</v>
      </c>
      <c r="F78" s="76">
        <f t="shared" si="15"/>
        <v>1.01091999302929</v>
      </c>
      <c r="G78" s="76">
        <f t="shared" si="16"/>
        <v>1.014881765901213</v>
      </c>
      <c r="H78" s="75"/>
    </row>
    <row r="79" spans="1:8">
      <c r="A79" s="74">
        <f t="shared" si="18"/>
        <v>141.54582374604439</v>
      </c>
      <c r="B79" s="75">
        <f t="shared" si="17"/>
        <v>888907.77312515874</v>
      </c>
      <c r="C79" s="76">
        <f t="shared" si="12"/>
        <v>0.97515150630627567</v>
      </c>
      <c r="D79" s="76">
        <f t="shared" si="13"/>
        <v>0.9875993409098075</v>
      </c>
      <c r="E79" s="76">
        <f t="shared" si="14"/>
        <v>0.99761756005302893</v>
      </c>
      <c r="F79" s="76">
        <f t="shared" si="15"/>
        <v>1.004963020680437</v>
      </c>
      <c r="G79" s="76">
        <f t="shared" si="16"/>
        <v>1.0094489512187987</v>
      </c>
      <c r="H79" s="75"/>
    </row>
    <row r="80" spans="1:8">
      <c r="A80" s="74">
        <f t="shared" si="18"/>
        <v>144.17735708274674</v>
      </c>
      <c r="B80" s="75">
        <f t="shared" si="17"/>
        <v>905433.80247964954</v>
      </c>
      <c r="C80" s="76">
        <f t="shared" si="12"/>
        <v>0.96594368852115642</v>
      </c>
      <c r="D80" s="76">
        <f t="shared" si="13"/>
        <v>0.97978828671593021</v>
      </c>
      <c r="E80" s="76">
        <f t="shared" si="14"/>
        <v>0.99097771767236043</v>
      </c>
      <c r="F80" s="76">
        <f t="shared" si="15"/>
        <v>0.99920903634035085</v>
      </c>
      <c r="G80" s="76">
        <f t="shared" si="16"/>
        <v>1.0042473852252454</v>
      </c>
      <c r="H80" s="75"/>
    </row>
    <row r="81" spans="1:8">
      <c r="A81" s="74">
        <f t="shared" si="18"/>
        <v>146.85781427688906</v>
      </c>
      <c r="B81" s="75">
        <f t="shared" si="17"/>
        <v>922267.07365886332</v>
      </c>
      <c r="C81" s="76">
        <f t="shared" si="12"/>
        <v>0.95679946610818467</v>
      </c>
      <c r="D81" s="76">
        <f t="shared" si="13"/>
        <v>0.97208144779041494</v>
      </c>
      <c r="E81" s="76">
        <f t="shared" si="14"/>
        <v>0.98448722119451626</v>
      </c>
      <c r="F81" s="76">
        <f t="shared" si="15"/>
        <v>0.99364505624583199</v>
      </c>
      <c r="G81" s="76">
        <f t="shared" si="16"/>
        <v>0.99926396800273432</v>
      </c>
      <c r="H81" s="75"/>
    </row>
    <row r="82" spans="1:8">
      <c r="A82" s="74">
        <f t="shared" si="18"/>
        <v>149.58810489089012</v>
      </c>
      <c r="B82" s="75">
        <f t="shared" si="17"/>
        <v>939413.29871478991</v>
      </c>
      <c r="C82" s="76">
        <f t="shared" si="12"/>
        <v>0.94771336844096965</v>
      </c>
      <c r="D82" s="76">
        <f t="shared" si="13"/>
        <v>0.96446938404939364</v>
      </c>
      <c r="E82" s="76">
        <f t="shared" si="14"/>
        <v>0.97813454018761692</v>
      </c>
      <c r="F82" s="76">
        <f t="shared" si="15"/>
        <v>0.98825883874276865</v>
      </c>
      <c r="G82" s="76">
        <f t="shared" si="16"/>
        <v>0.99448643155385363</v>
      </c>
      <c r="H82" s="75"/>
    </row>
    <row r="83" spans="1:8">
      <c r="A83" s="74">
        <f t="shared" si="18"/>
        <v>152.36915539719661</v>
      </c>
      <c r="B83" s="75">
        <f t="shared" si="17"/>
        <v>956878.29589439475</v>
      </c>
      <c r="C83" s="76">
        <f t="shared" si="12"/>
        <v>0.9386802276834727</v>
      </c>
      <c r="D83" s="76">
        <f t="shared" si="13"/>
        <v>0.95694312971603246</v>
      </c>
      <c r="E83" s="76">
        <f t="shared" si="14"/>
        <v>0.97190872936481276</v>
      </c>
      <c r="F83" s="76">
        <f t="shared" si="15"/>
        <v>0.98303882598642967</v>
      </c>
      <c r="G83" s="76">
        <f t="shared" si="16"/>
        <v>0.98990327226255426</v>
      </c>
      <c r="H83" s="75"/>
    </row>
    <row r="84" spans="1:8">
      <c r="A84" s="74">
        <f t="shared" si="18"/>
        <v>155.20190949266393</v>
      </c>
      <c r="B84" s="75">
        <f t="shared" si="17"/>
        <v>974667.99161392951</v>
      </c>
      <c r="C84" s="76">
        <f t="shared" si="12"/>
        <v>0.92969518314363475</v>
      </c>
      <c r="D84" s="76">
        <f t="shared" si="13"/>
        <v>0.94949417618103438</v>
      </c>
      <c r="E84" s="76">
        <f t="shared" si="14"/>
        <v>0.96579939084265876</v>
      </c>
      <c r="F84" s="76">
        <f t="shared" si="15"/>
        <v>0.97797409089335896</v>
      </c>
      <c r="G84" s="76">
        <f t="shared" si="16"/>
        <v>0.98550368971394242</v>
      </c>
      <c r="H84" s="75"/>
    </row>
    <row r="85" spans="1:8">
      <c r="A85" s="74">
        <f t="shared" si="18"/>
        <v>158.08732841878196</v>
      </c>
      <c r="B85" s="75">
        <f t="shared" si="17"/>
        <v>992788.42246995075</v>
      </c>
      <c r="C85" s="76">
        <f t="shared" si="12"/>
        <v>0.92075368369199206</v>
      </c>
      <c r="D85" s="76">
        <f t="shared" si="13"/>
        <v>0.94211445580892783</v>
      </c>
      <c r="E85" s="76">
        <f t="shared" si="14"/>
        <v>0.95979663960678241</v>
      </c>
      <c r="F85" s="76">
        <f t="shared" si="15"/>
        <v>0.97305428881778344</v>
      </c>
      <c r="G85" s="76">
        <f t="shared" si="16"/>
        <v>0.98127753118119398</v>
      </c>
      <c r="H85" s="75"/>
    </row>
    <row r="86" spans="1:8">
      <c r="A86" s="74">
        <f t="shared" si="18"/>
        <v>161.02639128785415</v>
      </c>
      <c r="B86" s="75">
        <f t="shared" si="17"/>
        <v>1011245.737287724</v>
      </c>
      <c r="C86" s="76">
        <f t="shared" si="12"/>
        <v>0.91185148850986275</v>
      </c>
      <c r="D86" s="76">
        <f t="shared" si="13"/>
        <v>0.93479632668268975</v>
      </c>
      <c r="E86" s="76">
        <f t="shared" si="14"/>
        <v>0.95389107192986866</v>
      </c>
      <c r="F86" s="76">
        <f t="shared" si="15"/>
        <v>0.96826961348551277</v>
      </c>
      <c r="G86" s="76">
        <f t="shared" si="16"/>
        <v>0.97721524117228675</v>
      </c>
      <c r="H86" s="75"/>
    </row>
    <row r="87" spans="1:8">
      <c r="A87" s="74">
        <f t="shared" si="18"/>
        <v>164.02009541524072</v>
      </c>
      <c r="B87" s="75">
        <f t="shared" si="17"/>
        <v>1030046.1992077117</v>
      </c>
      <c r="C87" s="76">
        <f t="shared" si="12"/>
        <v>0.90298466638960884</v>
      </c>
      <c r="D87" s="76">
        <f t="shared" si="13"/>
        <v>0.92753255826451542</v>
      </c>
      <c r="E87" s="76">
        <f t="shared" si="14"/>
        <v>0.94807373650815518</v>
      </c>
      <c r="F87" s="76">
        <f t="shared" si="15"/>
        <v>0.96361075677098151</v>
      </c>
      <c r="G87" s="76">
        <f t="shared" si="16"/>
        <v>0.97330781550232959</v>
      </c>
      <c r="H87" s="75"/>
    </row>
    <row r="88" spans="1:8">
      <c r="A88" s="74">
        <f t="shared" si="18"/>
        <v>167.06945665777874</v>
      </c>
      <c r="B88" s="75">
        <f t="shared" si="17"/>
        <v>1049196.1878108506</v>
      </c>
      <c r="C88" s="76">
        <f t="shared" si="12"/>
        <v>0.89414959377410508</v>
      </c>
      <c r="D88" s="76">
        <f t="shared" si="13"/>
        <v>0.92031631793913782</v>
      </c>
      <c r="E88" s="76">
        <f t="shared" si="14"/>
        <v>0.94233610810203372</v>
      </c>
      <c r="F88" s="76">
        <f t="shared" si="15"/>
        <v>0.95906887194936574</v>
      </c>
      <c r="G88" s="76">
        <f t="shared" si="16"/>
        <v>0.96954675942059254</v>
      </c>
      <c r="H88" s="75"/>
    </row>
    <row r="89" spans="1:8">
      <c r="A89" s="74">
        <f t="shared" si="18"/>
        <v>170.17550975849397</v>
      </c>
      <c r="B89" s="75">
        <f t="shared" si="17"/>
        <v>1068702.2012833422</v>
      </c>
      <c r="C89" s="76">
        <f t="shared" si="12"/>
        <v>0.88534295169291954</v>
      </c>
      <c r="D89" s="76">
        <f t="shared" si="13"/>
        <v>0.91314115839739995</v>
      </c>
      <c r="E89" s="76">
        <f t="shared" si="14"/>
        <v>0.93667006348412607</v>
      </c>
      <c r="F89" s="76">
        <f t="shared" si="15"/>
        <v>0.95463554009640017</v>
      </c>
      <c r="G89" s="76">
        <f t="shared" si="16"/>
        <v>0.96592404937641863</v>
      </c>
      <c r="H89" s="75"/>
    </row>
    <row r="90" spans="1:8">
      <c r="A90" s="74">
        <f t="shared" si="18"/>
        <v>173.33930869772129</v>
      </c>
      <c r="B90" s="75">
        <f t="shared" si="17"/>
        <v>1088570.8586216897</v>
      </c>
      <c r="C90" s="76">
        <f t="shared" si="12"/>
        <v>0.87656172172802738</v>
      </c>
      <c r="D90" s="76">
        <f t="shared" si="13"/>
        <v>0.90600100581128695</v>
      </c>
      <c r="E90" s="76">
        <f t="shared" si="14"/>
        <v>0.93106785951437099</v>
      </c>
      <c r="F90" s="76">
        <f t="shared" si="15"/>
        <v>0.95030273934436593</v>
      </c>
      <c r="G90" s="76">
        <f t="shared" si="16"/>
        <v>0.96243209805613239</v>
      </c>
      <c r="H90" s="75"/>
    </row>
    <row r="91" spans="1:8">
      <c r="A91" s="74">
        <f t="shared" si="18"/>
        <v>176.56192705075298</v>
      </c>
      <c r="B91" s="75">
        <f t="shared" si="17"/>
        <v>1108808.9018787288</v>
      </c>
      <c r="C91" s="76">
        <f t="shared" si="12"/>
        <v>0.86780318112139054</v>
      </c>
      <c r="D91" s="76">
        <f t="shared" si="13"/>
        <v>0.89889014874689155</v>
      </c>
      <c r="E91" s="76">
        <f t="shared" si="14"/>
        <v>0.92552211317632826</v>
      </c>
      <c r="F91" s="76">
        <f t="shared" si="15"/>
        <v>0.94606281673433135</v>
      </c>
      <c r="G91" s="76">
        <f t="shared" si="16"/>
        <v>0.95906372236489468</v>
      </c>
    </row>
    <row r="92" spans="1:8">
      <c r="A92" s="74">
        <f t="shared" si="18"/>
        <v>179.8444583521362</v>
      </c>
      <c r="B92" s="75">
        <f t="shared" si="17"/>
        <v>1129423.1984514154</v>
      </c>
      <c r="C92" s="76">
        <f t="shared" si="12"/>
        <v>0.85906489711990719</v>
      </c>
      <c r="D92" s="76">
        <f t="shared" si="13"/>
        <v>0.89180322775854515</v>
      </c>
      <c r="E92" s="76">
        <f t="shared" si="14"/>
        <v>0.92002578342222852</v>
      </c>
      <c r="F92" s="76">
        <f t="shared" si="15"/>
        <v>0.94190846243267501</v>
      </c>
      <c r="G92" s="76">
        <f t="shared" si="16"/>
        <v>0.9558121140640673</v>
      </c>
    </row>
    <row r="93" spans="1:8">
      <c r="A93" s="74">
        <f t="shared" si="18"/>
        <v>183.18801646674322</v>
      </c>
      <c r="B93" s="75">
        <f t="shared" si="17"/>
        <v>1150420.7434111475</v>
      </c>
      <c r="C93" s="76">
        <f t="shared" si="12"/>
        <v>0.85034472063940503</v>
      </c>
      <c r="D93" s="76">
        <f t="shared" si="13"/>
        <v>0.88473522560523898</v>
      </c>
      <c r="E93" s="76">
        <f t="shared" si="14"/>
        <v>0.91457215468624675</v>
      </c>
      <c r="F93" s="76">
        <f t="shared" si="15"/>
        <v>0.93783268610456871</v>
      </c>
      <c r="G93" s="76">
        <f t="shared" si="16"/>
        <v>0.95267081280666932</v>
      </c>
    </row>
    <row r="94" spans="1:8">
      <c r="A94" s="74">
        <f t="shared" si="18"/>
        <v>186.5937359677404</v>
      </c>
      <c r="B94" s="75">
        <f t="shared" si="17"/>
        <v>1171808.6618774098</v>
      </c>
      <c r="C94" s="76">
        <f t="shared" si="12"/>
        <v>0.84164077931822734</v>
      </c>
      <c r="D94" s="76">
        <f t="shared" si="13"/>
        <v>0.87768145802940034</v>
      </c>
      <c r="E94" s="76">
        <f t="shared" si="14"/>
        <v>0.90915482193632446</v>
      </c>
      <c r="F94" s="76">
        <f t="shared" si="15"/>
        <v>0.93382879525901386</v>
      </c>
      <c r="G94" s="76">
        <f t="shared" si="16"/>
        <v>0.94963368134168946</v>
      </c>
    </row>
    <row r="95" spans="1:8">
      <c r="A95" s="74">
        <f t="shared" si="18"/>
        <v>190.06277252158409</v>
      </c>
      <c r="B95" s="75">
        <f t="shared" si="17"/>
        <v>1193594.211435548</v>
      </c>
      <c r="C95" s="76">
        <f t="shared" si="12"/>
        <v>0.83295147002198344</v>
      </c>
      <c r="D95" s="76">
        <f t="shared" si="13"/>
        <v>0.87063756503778644</v>
      </c>
      <c r="E95" s="76">
        <f t="shared" si="14"/>
        <v>0.90376767714454731</v>
      </c>
      <c r="F95" s="76">
        <f t="shared" si="15"/>
        <v>0.92989037539936759</v>
      </c>
      <c r="G95" s="76">
        <f t="shared" si="16"/>
        <v>0.94669488268275159</v>
      </c>
    </row>
    <row r="96" spans="1:8">
      <c r="A96" s="74">
        <f t="shared" si="18"/>
        <v>193.5963032801742</v>
      </c>
      <c r="B96" s="75">
        <f t="shared" si="17"/>
        <v>1215784.784599494</v>
      </c>
      <c r="C96" s="76">
        <f t="shared" si="12"/>
        <v>0.82427545085394816</v>
      </c>
      <c r="D96" s="76">
        <f t="shared" si="13"/>
        <v>0.86359950262465723</v>
      </c>
      <c r="E96" s="76">
        <f t="shared" si="14"/>
        <v>0.89840489706477922</v>
      </c>
      <c r="F96" s="76">
        <f t="shared" si="15"/>
        <v>0.92601127183049914</v>
      </c>
      <c r="G96" s="76">
        <f t="shared" si="16"/>
        <v>0.94384885905843596</v>
      </c>
    </row>
    <row r="97" spans="1:7">
      <c r="A97" s="74">
        <f t="shared" si="18"/>
        <v>197.19552728029842</v>
      </c>
      <c r="B97" s="75">
        <f t="shared" si="17"/>
        <v>1238387.911320274</v>
      </c>
      <c r="C97" s="76">
        <f t="shared" si="12"/>
        <v>0.81561163272008574</v>
      </c>
      <c r="D97" s="76">
        <f t="shared" si="13"/>
        <v>0.8565635348783649</v>
      </c>
      <c r="E97" s="76">
        <f t="shared" si="14"/>
        <v>0.89306093221405414</v>
      </c>
      <c r="F97" s="76">
        <f t="shared" si="15"/>
        <v>0.92218557298899695</v>
      </c>
      <c r="G97" s="76">
        <f t="shared" si="16"/>
        <v>0.94109031248082842</v>
      </c>
    </row>
    <row r="98" spans="1:7">
      <c r="A98" s="74">
        <f t="shared" si="18"/>
        <v>200.86166585050265</v>
      </c>
      <c r="B98" s="75">
        <f t="shared" si="17"/>
        <v>1261411.2615411566</v>
      </c>
      <c r="C98" s="76">
        <f t="shared" si="12"/>
        <v>0.80695917049344623</v>
      </c>
      <c r="D98" s="76">
        <f t="shared" si="13"/>
        <v>0.84952622641394748</v>
      </c>
      <c r="E98" s="76">
        <f t="shared" si="14"/>
        <v>0.88773049696116324</v>
      </c>
      <c r="F98" s="76">
        <f t="shared" si="15"/>
        <v>0.91840759517641191</v>
      </c>
      <c r="G98" s="76">
        <f t="shared" si="16"/>
        <v>0.93841418678588728</v>
      </c>
    </row>
    <row r="99" spans="1:7">
      <c r="A99" s="74">
        <f t="shared" si="18"/>
        <v>204.59596302552569</v>
      </c>
      <c r="B99" s="75">
        <f t="shared" si="17"/>
        <v>1284862.6478003014</v>
      </c>
      <c r="C99" s="76">
        <f t="shared" si="12"/>
        <v>0.79831745381951713</v>
      </c>
      <c r="D99" s="76">
        <f t="shared" si="13"/>
        <v>0.84248443507618009</v>
      </c>
      <c r="E99" s="76">
        <f t="shared" si="14"/>
        <v>0.88240856063206441</v>
      </c>
      <c r="F99" s="76">
        <f t="shared" si="15"/>
        <v>0.91467186858758509</v>
      </c>
      <c r="G99" s="76">
        <f t="shared" si="16"/>
        <v>0.93581565101429021</v>
      </c>
    </row>
    <row r="100" spans="1:7">
      <c r="A100" s="74">
        <f t="shared" si="18"/>
        <v>208.39968596843897</v>
      </c>
      <c r="B100" s="75">
        <f t="shared" si="17"/>
        <v>1308750.0278817967</v>
      </c>
      <c r="C100" s="76">
        <f t="shared" si="12"/>
        <v>0.78968609760184472</v>
      </c>
      <c r="D100" s="76">
        <f t="shared" si="13"/>
        <v>0.83543530485978812</v>
      </c>
      <c r="E100" s="76">
        <f t="shared" si="14"/>
        <v>0.87709033954728144</v>
      </c>
      <c r="F100" s="76">
        <f t="shared" si="15"/>
        <v>0.91097312453686874</v>
      </c>
      <c r="G100" s="76">
        <f t="shared" si="16"/>
        <v>0.93329008401482738</v>
      </c>
    </row>
    <row r="101" spans="1:7">
      <c r="A101" s="74">
        <f t="shared" si="18"/>
        <v>212.27412540063432</v>
      </c>
      <c r="B101" s="75">
        <f t="shared" si="17"/>
        <v>1333081.5075159834</v>
      </c>
      <c r="C101" s="76">
        <f t="shared" si="12"/>
        <v>0.78106493220562145</v>
      </c>
      <c r="D101" s="76">
        <f t="shared" si="13"/>
        <v>0.82837625899606071</v>
      </c>
      <c r="E101" s="76">
        <f t="shared" si="14"/>
        <v>0.87177128991134545</v>
      </c>
      <c r="F101" s="76">
        <f t="shared" si="15"/>
        <v>0.90730628379457801</v>
      </c>
      <c r="G101" s="76">
        <f t="shared" si="16"/>
        <v>0.93083306016428369</v>
      </c>
    </row>
    <row r="102" spans="1:7">
      <c r="A102" s="74">
        <f t="shared" si="18"/>
        <v>216.22059603980577</v>
      </c>
      <c r="B102" s="75">
        <f t="shared" si="17"/>
        <v>1357865.3431299801</v>
      </c>
      <c r="C102" s="76">
        <f t="shared" si="12"/>
        <v>0.77245399341588261</v>
      </c>
      <c r="D102" s="76">
        <f t="shared" si="13"/>
        <v>0.82130499315794125</v>
      </c>
      <c r="E102" s="76">
        <f t="shared" si="14"/>
        <v>0.86644710147871862</v>
      </c>
      <c r="F102" s="76">
        <f t="shared" si="15"/>
        <v>0.90366644595453482</v>
      </c>
      <c r="G102" s="76">
        <f t="shared" si="16"/>
        <v>0.92844033610835497</v>
      </c>
    </row>
    <row r="103" spans="1:7">
      <c r="A103" s="74">
        <f t="shared" si="18"/>
        <v>220.24043704607425</v>
      </c>
      <c r="B103" s="75">
        <f t="shared" si="17"/>
        <v>1383109.9446493462</v>
      </c>
      <c r="C103" s="76">
        <f t="shared" ref="C103:C109" si="19">(B103/wo)^2*SQRT(Ma*(Ma-1))/SQRT((1-B103^2/wp^2)^2+(B103/wo)^2*(1-B103^2/wo^2)^2*(Ma*Q)^2)/IF(answer,1,MC)</f>
        <v>0.76385351218628783</v>
      </c>
      <c r="D103" s="76">
        <f t="shared" ref="D103:D109" si="20">(B103/wo)^2*SQRT(Ma*(Ma-1))/SQRT((1-B103^2/wp^2)^2+(B103/wo)^2*(1-B103^2/wo^2)^2*(Ma*(Q*0.8))^2)/IF(answer,1,MC)</f>
        <v>0.8142194687387434</v>
      </c>
      <c r="E103" s="76">
        <f t="shared" ref="E103:E109" si="21">(B103/wo)^2*SQRT(Ma*(Ma-1))/SQRT((1-B103^2/wp^2)^2+(B103/wo)^2*(1-B103^2/wo^2)^2*(Ma*(Q*0.6))^2)/IF(answer,1,MC)</f>
        <v>0.86111369192452658</v>
      </c>
      <c r="F103" s="76">
        <f t="shared" ref="F103:F109" si="22">(B103/wo)^2*SQRT(Ma*(Ma-1))/SQRT((1-B103^2/wp^2)^2+(B103/wo)^2*(1-B103^2/wo^2)^2*(Ma*(Q*0.4))^2)/IF(answer,1,MC)</f>
        <v>0.90004887976111581</v>
      </c>
      <c r="G103" s="76">
        <f t="shared" ref="G103:G109" si="23">(B103/wo)^2*SQRT(Ma*(Ma-1))/SQRT((1-B103^2/wp^2)^2+(B103/wo)^2*(1-B103^2/wo^2)^2*(Ma*(Q*0.2))^2)/IF(answer,1,MC)</f>
        <v>0.92610783843758571</v>
      </c>
    </row>
    <row r="104" spans="1:7">
      <c r="A104" s="74">
        <f t="shared" si="18"/>
        <v>224.33501247640612</v>
      </c>
      <c r="B104" s="75">
        <f t="shared" si="17"/>
        <v>1408823.8783518304</v>
      </c>
      <c r="C104" s="76">
        <f t="shared" si="19"/>
        <v>0.75526390421408396</v>
      </c>
      <c r="D104" s="76">
        <f t="shared" si="20"/>
        <v>0.8071179061629199</v>
      </c>
      <c r="E104" s="76">
        <f t="shared" si="21"/>
        <v>0.85576720185190358</v>
      </c>
      <c r="F104" s="76">
        <f t="shared" si="22"/>
        <v>0.89644901433094171</v>
      </c>
      <c r="G104" s="76">
        <f t="shared" si="23"/>
        <v>0.92383165222075569</v>
      </c>
    </row>
    <row r="105" spans="1:7">
      <c r="A105" s="74">
        <f t="shared" si="18"/>
        <v>228.50571174748015</v>
      </c>
      <c r="B105" s="75">
        <f t="shared" si="17"/>
        <v>1435015.8697741753</v>
      </c>
      <c r="C105" s="76">
        <f t="shared" si="19"/>
        <v>0.7466857593766506</v>
      </c>
      <c r="D105" s="76">
        <f t="shared" si="20"/>
        <v>0.79999877819079213</v>
      </c>
      <c r="E105" s="76">
        <f t="shared" si="21"/>
        <v>0.85040399037087522</v>
      </c>
      <c r="F105" s="76">
        <f t="shared" si="22"/>
        <v>0.89286243121031161</v>
      </c>
      <c r="G105" s="76">
        <f t="shared" si="23"/>
        <v>0.92160801032568929</v>
      </c>
    </row>
    <row r="106" spans="1:7">
      <c r="A106" s="74">
        <f t="shared" si="18"/>
        <v>232.75395010715971</v>
      </c>
      <c r="B106" s="75">
        <f t="shared" si="17"/>
        <v>1461694.8066729631</v>
      </c>
      <c r="C106" s="76">
        <f t="shared" si="19"/>
        <v>0.73811983106492884</v>
      </c>
      <c r="D106" s="76">
        <f t="shared" si="20"/>
        <v>0.79286080318276597</v>
      </c>
      <c r="E106" s="76">
        <f t="shared" si="21"/>
        <v>0.84502063118649751</v>
      </c>
      <c r="F106" s="76">
        <f t="shared" si="22"/>
        <v>0.88928485721477091</v>
      </c>
      <c r="G106" s="76">
        <f t="shared" si="23"/>
        <v>0.91943328346423081</v>
      </c>
    </row>
    <row r="107" spans="1:7">
      <c r="A107" s="74">
        <f t="shared" si="18"/>
        <v>237.08116911473047</v>
      </c>
      <c r="B107" s="75">
        <f t="shared" si="17"/>
        <v>1488869.7420405073</v>
      </c>
      <c r="C107" s="76">
        <f t="shared" si="19"/>
        <v>0.72956702544895957</v>
      </c>
      <c r="D107" s="76">
        <f t="shared" si="20"/>
        <v>0.78570293829232463</v>
      </c>
      <c r="E107" s="76">
        <f t="shared" si="21"/>
        <v>0.83961390913653822</v>
      </c>
      <c r="F107" s="76">
        <f t="shared" si="22"/>
        <v>0.88571215800187875</v>
      </c>
      <c r="G107" s="76">
        <f t="shared" si="23"/>
        <v>0.91730397090420135</v>
      </c>
    </row>
    <row r="108" spans="1:7">
      <c r="A108" s="74">
        <f t="shared" si="18"/>
        <v>241.48883713006614</v>
      </c>
      <c r="B108" s="75">
        <f t="shared" si="17"/>
        <v>1516549.8971768154</v>
      </c>
      <c r="C108" s="76">
        <f t="shared" si="19"/>
        <v>0.72102839071065283</v>
      </c>
      <c r="D108" s="76">
        <f t="shared" si="20"/>
        <v>0.77852437256095031</v>
      </c>
      <c r="E108" s="76">
        <f t="shared" si="21"/>
        <v>0.83418081712131309</v>
      </c>
      <c r="F108" s="76">
        <f t="shared" si="22"/>
        <v>0.88214033233236744</v>
      </c>
      <c r="G108" s="76">
        <f t="shared" si="23"/>
        <v>0.91521669179661647</v>
      </c>
    </row>
    <row r="109" spans="1:7">
      <c r="A109" s="74">
        <f t="shared" si="18"/>
        <v>245.97844981188862</v>
      </c>
      <c r="B109" s="75">
        <f t="shared" si="17"/>
        <v>1544744.6648186606</v>
      </c>
      <c r="C109" s="76">
        <f t="shared" si="19"/>
        <v>0.71250510627870378</v>
      </c>
      <c r="D109" s="76">
        <f t="shared" si="20"/>
        <v>0.77132451989205808</v>
      </c>
      <c r="E109" s="76">
        <f t="shared" si="21"/>
        <v>0.82871855337046874</v>
      </c>
      <c r="F109" s="76">
        <f t="shared" si="22"/>
        <v>0.87856550697849767</v>
      </c>
      <c r="G109" s="76">
        <f t="shared" si="23"/>
        <v>0.91316817707135833</v>
      </c>
    </row>
  </sheetData>
  <mergeCells count="1">
    <mergeCell ref="O14:P14"/>
  </mergeCells>
  <phoneticPr fontId="2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50</vt:i4>
      </vt:variant>
    </vt:vector>
  </HeadingPairs>
  <TitlesOfParts>
    <vt:vector size="53" baseType="lpstr">
      <vt:lpstr>FAN7688 Design Tool</vt:lpstr>
      <vt:lpstr>Sheet2</vt:lpstr>
      <vt:lpstr>Sheet3</vt:lpstr>
      <vt:lpstr>Ae</vt:lpstr>
      <vt:lpstr>answer</vt:lpstr>
      <vt:lpstr>Attn1</vt:lpstr>
      <vt:lpstr>attn2</vt:lpstr>
      <vt:lpstr>Bmax</vt:lpstr>
      <vt:lpstr>C.DT</vt:lpstr>
      <vt:lpstr>Cdl</vt:lpstr>
      <vt:lpstr>CICS</vt:lpstr>
      <vt:lpstr>Cout</vt:lpstr>
      <vt:lpstr>Cr</vt:lpstr>
      <vt:lpstr>Crd</vt:lpstr>
      <vt:lpstr>Eff</vt:lpstr>
      <vt:lpstr>ESR</vt:lpstr>
      <vt:lpstr>f_min</vt:lpstr>
      <vt:lpstr>fo</vt:lpstr>
      <vt:lpstr>fod</vt:lpstr>
      <vt:lpstr>fs_nrm</vt:lpstr>
      <vt:lpstr>Io</vt:lpstr>
      <vt:lpstr>Io.olp</vt:lpstr>
      <vt:lpstr>Iocp</vt:lpstr>
      <vt:lpstr>k</vt:lpstr>
      <vt:lpstr>Lp</vt:lpstr>
      <vt:lpstr>Lr</vt:lpstr>
      <vt:lpstr>Lrd</vt:lpstr>
      <vt:lpstr>M_min</vt:lpstr>
      <vt:lpstr>Ma</vt:lpstr>
      <vt:lpstr>MC</vt:lpstr>
      <vt:lpstr>mm</vt:lpstr>
      <vt:lpstr>Mv</vt:lpstr>
      <vt:lpstr>n</vt:lpstr>
      <vt:lpstr>nct</vt:lpstr>
      <vt:lpstr>nn</vt:lpstr>
      <vt:lpstr>Np</vt:lpstr>
      <vt:lpstr>Ns</vt:lpstr>
      <vt:lpstr>Pin</vt:lpstr>
      <vt:lpstr>Po</vt:lpstr>
      <vt:lpstr>Q</vt:lpstr>
      <vt:lpstr>Qd</vt:lpstr>
      <vt:lpstr>R.DT</vt:lpstr>
      <vt:lpstr>Rac</vt:lpstr>
      <vt:lpstr>Ro</vt:lpstr>
      <vt:lpstr>Thu</vt:lpstr>
      <vt:lpstr>u</vt:lpstr>
      <vt:lpstr>VF</vt:lpstr>
      <vt:lpstr>Vin_max</vt:lpstr>
      <vt:lpstr>Vin_min</vt:lpstr>
      <vt:lpstr>Vo</vt:lpstr>
      <vt:lpstr>wm</vt:lpstr>
      <vt:lpstr>wo</vt:lpstr>
      <vt:lpstr>wp</vt:lpstr>
    </vt:vector>
  </TitlesOfParts>
  <Company>Fairchild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Sean</cp:lastModifiedBy>
  <dcterms:created xsi:type="dcterms:W3CDTF">2015-12-07T23:10:23Z</dcterms:created>
  <dcterms:modified xsi:type="dcterms:W3CDTF">2016-03-28T16:30:02Z</dcterms:modified>
</cp:coreProperties>
</file>