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4835" windowHeight="9300" tabRatio="809" firstSheet="1" activeTab="1"/>
  </bookViews>
  <sheets>
    <sheet name="Getting Started" sheetId="1" r:id="rId1"/>
    <sheet name="Input" sheetId="2" r:id="rId2"/>
    <sheet name="CALCULATION" sheetId="3" state="hidden" r:id="rId3"/>
  </sheets>
  <definedNames>
    <definedName name="Figure1">'CALCULATION'!$H$28:$H$42</definedName>
    <definedName name="_xlnm.Print_Area" localSheetId="2">'CALCULATION'!$A$1:$H$72</definedName>
  </definedNames>
  <calcPr fullCalcOnLoad="1"/>
</workbook>
</file>

<file path=xl/comments3.xml><?xml version="1.0" encoding="utf-8"?>
<comments xmlns="http://schemas.openxmlformats.org/spreadsheetml/2006/main">
  <authors>
    <author>Girand</author>
  </authors>
  <commentList>
    <comment ref="B84" authorId="0">
      <text>
        <r>
          <rPr>
            <b/>
            <sz val="8"/>
            <rFont val="Tahoma"/>
            <family val="0"/>
          </rPr>
          <t>Since we don’t want to run the NUD at 100% we round power up, recognizing std resistors go up in power rating in standard steps.</t>
        </r>
      </text>
    </comment>
  </commentList>
</comments>
</file>

<file path=xl/sharedStrings.xml><?xml version="1.0" encoding="utf-8"?>
<sst xmlns="http://schemas.openxmlformats.org/spreadsheetml/2006/main" count="218" uniqueCount="92">
  <si>
    <t>LED Drive circuit Calculation Page</t>
  </si>
  <si>
    <t>Ohms</t>
  </si>
  <si>
    <t>volts</t>
  </si>
  <si>
    <t>C/Watt</t>
  </si>
  <si>
    <t>Watts</t>
  </si>
  <si>
    <t>Automotive</t>
  </si>
  <si>
    <t>120Vac</t>
  </si>
  <si>
    <t>1.  Select Application</t>
  </si>
  <si>
    <t>x</t>
  </si>
  <si>
    <t>5V, 12V, 18V, 24V,etc</t>
  </si>
  <si>
    <t>VLED Sum</t>
  </si>
  <si>
    <t>watts</t>
  </si>
  <si>
    <t>Ambient temp- Degrees C</t>
  </si>
  <si>
    <t>Rext</t>
  </si>
  <si>
    <t>Initial est</t>
  </si>
  <si>
    <t>2st iteration</t>
  </si>
  <si>
    <t xml:space="preserve">      Theta JA</t>
  </si>
  <si>
    <t>Package @ Temperature</t>
  </si>
  <si>
    <t xml:space="preserve">     P NUD actual</t>
  </si>
  <si>
    <t xml:space="preserve">     R ext</t>
  </si>
  <si>
    <t xml:space="preserve">     Meet Power reqt?</t>
  </si>
  <si>
    <t xml:space="preserve">      Pwr pkg rating max</t>
  </si>
  <si>
    <t>I real</t>
  </si>
  <si>
    <t>Vnud main tx</t>
  </si>
  <si>
    <t>Total Power NUD</t>
  </si>
  <si>
    <t>I normalized</t>
  </si>
  <si>
    <t>%</t>
  </si>
  <si>
    <t>Power</t>
  </si>
  <si>
    <t>Area is&gt;&gt;</t>
  </si>
  <si>
    <t>V sense</t>
  </si>
  <si>
    <t>Assume 1st Vsense</t>
  </si>
  <si>
    <t>Tj</t>
  </si>
  <si>
    <t xml:space="preserve">     Meets Tj ret?</t>
  </si>
  <si>
    <t>Amps</t>
  </si>
  <si>
    <t>Pnud</t>
  </si>
  <si>
    <t>Pwr Control Circuit</t>
  </si>
  <si>
    <t xml:space="preserve">     Meet NUD curr reqt?</t>
  </si>
  <si>
    <t>Case 1  One NUD</t>
  </si>
  <si>
    <t xml:space="preserve">     Meets Tj reqt?</t>
  </si>
  <si>
    <t>Qty Series LED's</t>
  </si>
  <si>
    <t>LED Vf</t>
  </si>
  <si>
    <t>LED current</t>
  </si>
  <si>
    <t>Package Ratings Calculation</t>
  </si>
  <si>
    <t>1.  LED configuration</t>
  </si>
  <si>
    <t>2.  Package Properties</t>
  </si>
  <si>
    <t>3.  input Voltage</t>
  </si>
  <si>
    <t xml:space="preserve">     Meets all requirements?</t>
  </si>
  <si>
    <t xml:space="preserve">     Is there a simpler solution?</t>
  </si>
  <si>
    <t>INPUT DATA(DON’T ENTER DATA HERE_ FORMULAES)</t>
  </si>
  <si>
    <t xml:space="preserve">     Rseries</t>
  </si>
  <si>
    <t>ohms</t>
  </si>
  <si>
    <t>Case 2  One NUD with Series R</t>
  </si>
  <si>
    <t>Pwr in control circuit</t>
  </si>
  <si>
    <t>Pwwr total in NUD</t>
  </si>
  <si>
    <t>C</t>
  </si>
  <si>
    <t xml:space="preserve">     Meets Vin minimum reqt?</t>
  </si>
  <si>
    <t>Case 4  Two NUD's with SeriesR</t>
  </si>
  <si>
    <t xml:space="preserve">     Pwr Series amt</t>
  </si>
  <si>
    <t xml:space="preserve">     Pwr Rext</t>
  </si>
  <si>
    <t>&lt;&lt;Number of LED's to  be put in series</t>
  </si>
  <si>
    <t>&lt;&lt;  Avg Vf of a single LED (volts)</t>
  </si>
  <si>
    <t>&lt;&lt;  Average Forward Current of  LED.in mA</t>
  </si>
  <si>
    <t xml:space="preserve"> </t>
  </si>
  <si>
    <t>Area of copper PC board in Sq.  Inches(default=2)</t>
  </si>
  <si>
    <r>
      <t xml:space="preserve">Ambient temp- Degrees C </t>
    </r>
    <r>
      <rPr>
        <sz val="8"/>
        <rFont val="Arial"/>
        <family val="2"/>
      </rPr>
      <t>(default =25)</t>
    </r>
  </si>
  <si>
    <t>Series Resistor</t>
  </si>
  <si>
    <t>Vin</t>
  </si>
  <si>
    <t xml:space="preserve">  1.  LED configuration</t>
  </si>
  <si>
    <t xml:space="preserve">  2.  Package Properties</t>
  </si>
  <si>
    <t xml:space="preserve">  3.  input Voltage</t>
  </si>
  <si>
    <t>LED Circuit Design page for the NUD4001 Current Source</t>
  </si>
  <si>
    <t xml:space="preserve">       ENTER  DATA HERE</t>
  </si>
  <si>
    <t>INSTRUCTIONS:</t>
  </si>
  <si>
    <r>
      <t xml:space="preserve">1.  Enter data into the yellow </t>
    </r>
    <r>
      <rPr>
        <b/>
        <sz val="10"/>
        <color indexed="8"/>
        <rFont val="Arial"/>
        <family val="2"/>
      </rPr>
      <t>highlighted</t>
    </r>
    <r>
      <rPr>
        <sz val="10"/>
        <rFont val="Arial"/>
        <family val="0"/>
      </rPr>
      <t xml:space="preserve"> area.</t>
    </r>
  </si>
  <si>
    <r>
      <t xml:space="preserve">  </t>
    </r>
    <r>
      <rPr>
        <b/>
        <sz val="11"/>
        <color indexed="10"/>
        <rFont val="Arial"/>
        <family val="0"/>
      </rPr>
      <t>Solution:</t>
    </r>
  </si>
  <si>
    <r>
      <t xml:space="preserve">2.  Refer to the </t>
    </r>
    <r>
      <rPr>
        <b/>
        <sz val="10"/>
        <color indexed="10"/>
        <rFont val="Arial"/>
        <family val="2"/>
      </rPr>
      <t>Solution</t>
    </r>
    <r>
      <rPr>
        <sz val="10"/>
        <rFont val="Arial"/>
        <family val="0"/>
      </rPr>
      <t xml:space="preserve"> section to pick the proper configuration</t>
    </r>
  </si>
  <si>
    <t xml:space="preserve">3.  Refer to the table to order the resistor value rating. </t>
  </si>
  <si>
    <t>Rext Resistor(set mA)</t>
  </si>
  <si>
    <t>Note: The design is a starting point and should be verfied in the lab to meet all customer requiremetns.</t>
  </si>
  <si>
    <t>Note:  Standard resistor values will dictate slighly different values.  The optimized design should always verified in the lab.</t>
  </si>
  <si>
    <t>``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</si>
  <si>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</si>
  <si>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sq. inches</t>
  </si>
  <si>
    <t>V series with1 v headroom</t>
  </si>
  <si>
    <t>R series</t>
  </si>
  <si>
    <t>Pwer Rseries</t>
  </si>
  <si>
    <t>Pwr in Q of NUD</t>
  </si>
  <si>
    <t>V in Q of NUD assume head</t>
  </si>
  <si>
    <t>Case 4  Three NUD's with SeriesR</t>
  </si>
  <si>
    <t>V series with  headroom</t>
  </si>
  <si>
    <t>planned head room</t>
  </si>
  <si>
    <t>Watts(actual)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</si>
</sst>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"/>
    <numFmt numFmtId="168" formatCode="0.000"/>
    <numFmt numFmtId="169" formatCode="0.0"/>
    <numFmt numFmtId="170" formatCode="0.00000"/>
    <numFmt numFmtId="171" formatCode="0.0000000"/>
    <numFmt numFmtId="172" formatCode="0.000000"/>
    <numFmt numFmtId="173" formatCode="0.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_(* #,##0.000_);_(* \(#,##0.000\);_(* &quot;-&quot;???_);_(@_)"/>
    <numFmt numFmtId="180" formatCode="0.0%"/>
    <numFmt numFmtId="181" formatCode="0.000000000"/>
  </numFmts>
  <fonts count="2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u val="single"/>
      <sz val="10"/>
      <color indexed="10"/>
      <name val="Arial"/>
      <family val="2"/>
    </font>
    <font>
      <sz val="10"/>
      <color indexed="13"/>
      <name val="Arial"/>
      <family val="0"/>
    </font>
    <font>
      <sz val="9"/>
      <name val="Arial"/>
      <family val="0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2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2" fillId="4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8" fontId="0" fillId="0" borderId="2" xfId="0" applyNumberForma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2" fontId="0" fillId="0" borderId="4" xfId="0" applyNumberFormat="1" applyBorder="1" applyAlignment="1" applyProtection="1">
      <alignment horizontal="center"/>
      <protection/>
    </xf>
    <xf numFmtId="169" fontId="0" fillId="0" borderId="4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2" fontId="0" fillId="0" borderId="5" xfId="0" applyNumberFormat="1" applyFill="1" applyBorder="1" applyAlignment="1" applyProtection="1">
      <alignment horizontal="center"/>
      <protection/>
    </xf>
    <xf numFmtId="169" fontId="0" fillId="0" borderId="5" xfId="0" applyNumberFormat="1" applyBorder="1" applyAlignment="1" applyProtection="1">
      <alignment horizontal="center"/>
      <protection/>
    </xf>
    <xf numFmtId="2" fontId="0" fillId="0" borderId="5" xfId="0" applyNumberForma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center"/>
      <protection/>
    </xf>
    <xf numFmtId="169" fontId="0" fillId="0" borderId="2" xfId="0" applyNumberForma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5" fillId="4" borderId="6" xfId="0" applyFont="1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1" fillId="4" borderId="6" xfId="0" applyFont="1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169" fontId="0" fillId="4" borderId="0" xfId="0" applyNumberForma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9" xfId="0" applyFont="1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 horizontal="left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168" fontId="0" fillId="4" borderId="0" xfId="0" applyNumberFormat="1" applyFill="1" applyBorder="1" applyAlignment="1" applyProtection="1">
      <alignment horizontal="center"/>
      <protection hidden="1"/>
    </xf>
    <xf numFmtId="2" fontId="0" fillId="4" borderId="0" xfId="0" applyNumberFormat="1" applyFill="1" applyBorder="1" applyAlignment="1" applyProtection="1">
      <alignment horizontal="center"/>
      <protection hidden="1"/>
    </xf>
    <xf numFmtId="168" fontId="0" fillId="4" borderId="0" xfId="0" applyNumberFormat="1" applyFill="1" applyBorder="1" applyAlignment="1" applyProtection="1">
      <alignment/>
      <protection hidden="1"/>
    </xf>
    <xf numFmtId="168" fontId="0" fillId="4" borderId="14" xfId="0" applyNumberFormat="1" applyFill="1" applyBorder="1" applyAlignment="1" applyProtection="1">
      <alignment horizontal="center"/>
      <protection hidden="1"/>
    </xf>
    <xf numFmtId="43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4" borderId="9" xfId="0" applyFont="1" applyFill="1" applyBorder="1" applyAlignment="1" applyProtection="1">
      <alignment/>
      <protection hidden="1"/>
    </xf>
    <xf numFmtId="168" fontId="0" fillId="4" borderId="0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/>
      <protection hidden="1"/>
    </xf>
    <xf numFmtId="9" fontId="0" fillId="4" borderId="3" xfId="21" applyFill="1" applyBorder="1" applyAlignment="1" applyProtection="1">
      <alignment horizontal="center"/>
      <protection hidden="1"/>
    </xf>
    <xf numFmtId="9" fontId="0" fillId="4" borderId="0" xfId="21" applyFill="1" applyBorder="1" applyAlignment="1" applyProtection="1">
      <alignment horizontal="center"/>
      <protection hidden="1"/>
    </xf>
    <xf numFmtId="170" fontId="0" fillId="4" borderId="0" xfId="0" applyNumberFormat="1" applyFill="1" applyBorder="1" applyAlignment="1" applyProtection="1">
      <alignment horizontal="center"/>
      <protection hidden="1"/>
    </xf>
    <xf numFmtId="169" fontId="0" fillId="4" borderId="0" xfId="0" applyNumberFormat="1" applyFill="1" applyBorder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167" fontId="0" fillId="4" borderId="0" xfId="0" applyNumberFormat="1" applyFill="1" applyAlignment="1" applyProtection="1">
      <alignment/>
      <protection hidden="1"/>
    </xf>
    <xf numFmtId="0" fontId="5" fillId="4" borderId="0" xfId="0" applyFont="1" applyFill="1" applyBorder="1" applyAlignment="1" applyProtection="1">
      <alignment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 horizontal="left"/>
      <protection hidden="1"/>
    </xf>
    <xf numFmtId="168" fontId="0" fillId="4" borderId="0" xfId="0" applyNumberFormat="1" applyFill="1" applyBorder="1" applyAlignment="1" applyProtection="1" quotePrefix="1">
      <alignment horizont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180" fontId="0" fillId="4" borderId="0" xfId="21" applyNumberForma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/>
    </xf>
    <xf numFmtId="2" fontId="5" fillId="4" borderId="0" xfId="0" applyNumberFormat="1" applyFont="1" applyFill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/>
    </xf>
    <xf numFmtId="2" fontId="0" fillId="0" borderId="8" xfId="0" applyNumberForma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center"/>
      <protection/>
    </xf>
    <xf numFmtId="169" fontId="0" fillId="0" borderId="6" xfId="0" applyNumberFormat="1" applyBorder="1" applyAlignment="1" applyProtection="1">
      <alignment horizontal="center"/>
      <protection/>
    </xf>
    <xf numFmtId="169" fontId="0" fillId="0" borderId="9" xfId="0" applyNumberFormat="1" applyBorder="1" applyAlignment="1" applyProtection="1">
      <alignment horizontal="center"/>
      <protection/>
    </xf>
    <xf numFmtId="169" fontId="0" fillId="0" borderId="11" xfId="0" applyNumberFormat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 hidden="1"/>
    </xf>
    <xf numFmtId="0" fontId="0" fillId="4" borderId="0" xfId="0" applyFont="1" applyFill="1" applyAlignment="1" applyProtection="1">
      <alignment horizontal="center"/>
      <protection hidden="1"/>
    </xf>
    <xf numFmtId="0" fontId="0" fillId="4" borderId="6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 horizontal="left"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/>
      <protection hidden="1"/>
    </xf>
    <xf numFmtId="0" fontId="8" fillId="4" borderId="7" xfId="0" applyFont="1" applyFill="1" applyBorder="1" applyAlignment="1" applyProtection="1">
      <alignment/>
      <protection hidden="1"/>
    </xf>
    <xf numFmtId="0" fontId="7" fillId="4" borderId="7" xfId="0" applyFont="1" applyFill="1" applyBorder="1" applyAlignment="1" applyProtection="1">
      <alignment horizontal="left"/>
      <protection hidden="1"/>
    </xf>
    <xf numFmtId="2" fontId="0" fillId="4" borderId="10" xfId="0" applyNumberFormat="1" applyFill="1" applyBorder="1" applyAlignment="1" applyProtection="1">
      <alignment horizontal="center"/>
      <protection hidden="1"/>
    </xf>
    <xf numFmtId="168" fontId="0" fillId="4" borderId="10" xfId="0" applyNumberFormat="1" applyFill="1" applyBorder="1" applyAlignment="1" applyProtection="1" quotePrefix="1">
      <alignment horizontal="center"/>
      <protection hidden="1"/>
    </xf>
    <xf numFmtId="168" fontId="0" fillId="4" borderId="10" xfId="0" applyNumberFormat="1" applyFill="1" applyBorder="1" applyAlignment="1" applyProtection="1">
      <alignment horizontal="center"/>
      <protection hidden="1"/>
    </xf>
    <xf numFmtId="168" fontId="0" fillId="4" borderId="10" xfId="0" applyNumberFormat="1" applyFont="1" applyFill="1" applyBorder="1" applyAlignment="1" applyProtection="1">
      <alignment horizontal="center"/>
      <protection hidden="1"/>
    </xf>
    <xf numFmtId="169" fontId="0" fillId="4" borderId="10" xfId="0" applyNumberFormat="1" applyFont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3" xfId="0" applyFont="1" applyFill="1" applyBorder="1" applyAlignment="1" applyProtection="1">
      <alignment/>
      <protection hidden="1"/>
    </xf>
    <xf numFmtId="180" fontId="0" fillId="4" borderId="12" xfId="21" applyNumberFormat="1" applyFill="1" applyBorder="1" applyAlignment="1" applyProtection="1">
      <alignment horizontal="center"/>
      <protection hidden="1"/>
    </xf>
    <xf numFmtId="0" fontId="7" fillId="4" borderId="7" xfId="0" applyFon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center"/>
      <protection hidden="1"/>
    </xf>
    <xf numFmtId="169" fontId="0" fillId="4" borderId="10" xfId="0" applyNumberFormat="1" applyFill="1" applyBorder="1" applyAlignment="1" applyProtection="1">
      <alignment horizontal="center"/>
      <protection hidden="1"/>
    </xf>
    <xf numFmtId="169" fontId="0" fillId="4" borderId="3" xfId="0" applyNumberFormat="1" applyFill="1" applyBorder="1" applyAlignment="1" applyProtection="1">
      <alignment horizontal="center"/>
      <protection hidden="1"/>
    </xf>
    <xf numFmtId="9" fontId="0" fillId="4" borderId="12" xfId="21" applyFill="1" applyBorder="1" applyAlignment="1" applyProtection="1">
      <alignment horizontal="center"/>
      <protection hidden="1"/>
    </xf>
    <xf numFmtId="169" fontId="0" fillId="4" borderId="9" xfId="0" applyNumberFormat="1" applyFill="1" applyBorder="1" applyAlignment="1" applyProtection="1">
      <alignment horizontal="center"/>
      <protection hidden="1"/>
    </xf>
    <xf numFmtId="168" fontId="0" fillId="4" borderId="11" xfId="0" applyNumberFormat="1" applyFill="1" applyBorder="1" applyAlignment="1" applyProtection="1">
      <alignment horizontal="center"/>
      <protection hidden="1"/>
    </xf>
    <xf numFmtId="168" fontId="1" fillId="4" borderId="7" xfId="0" applyNumberFormat="1" applyFont="1" applyFill="1" applyBorder="1" applyAlignment="1" applyProtection="1">
      <alignment/>
      <protection hidden="1"/>
    </xf>
    <xf numFmtId="168" fontId="0" fillId="4" borderId="3" xfId="0" applyNumberFormat="1" applyFill="1" applyBorder="1" applyAlignment="1" applyProtection="1" quotePrefix="1">
      <alignment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2" fillId="4" borderId="9" xfId="0" applyFont="1" applyFill="1" applyBorder="1" applyAlignment="1" applyProtection="1">
      <alignment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right"/>
      <protection hidden="1"/>
    </xf>
    <xf numFmtId="168" fontId="0" fillId="4" borderId="8" xfId="0" applyNumberFormat="1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 horizontal="right"/>
      <protection hidden="1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left" vertical="top" wrapText="1"/>
    </xf>
    <xf numFmtId="0" fontId="0" fillId="0" borderId="0" xfId="0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/>
      <protection hidden="1"/>
    </xf>
    <xf numFmtId="0" fontId="1" fillId="4" borderId="18" xfId="0" applyFont="1" applyFill="1" applyBorder="1" applyAlignment="1" applyProtection="1">
      <alignment horizontal="center"/>
      <protection hidden="1"/>
    </xf>
    <xf numFmtId="0" fontId="1" fillId="4" borderId="19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1</xdr:row>
      <xdr:rowOff>57150</xdr:rowOff>
    </xdr:from>
    <xdr:to>
      <xdr:col>12</xdr:col>
      <xdr:colOff>590550</xdr:colOff>
      <xdr:row>19</xdr:row>
      <xdr:rowOff>95250</xdr:rowOff>
    </xdr:to>
    <xdr:pic>
      <xdr:nvPicPr>
        <xdr:cNvPr id="1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333375"/>
          <a:ext cx="5086350" cy="3181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12</xdr:col>
      <xdr:colOff>581025</xdr:colOff>
      <xdr:row>28</xdr:row>
      <xdr:rowOff>19050</xdr:rowOff>
    </xdr:to>
    <xdr:sp>
      <xdr:nvSpPr>
        <xdr:cNvPr id="2" name="Rectangle 531"/>
        <xdr:cNvSpPr>
          <a:spLocks/>
        </xdr:cNvSpPr>
      </xdr:nvSpPr>
      <xdr:spPr>
        <a:xfrm>
          <a:off x="28575" y="0"/>
          <a:ext cx="9144000" cy="5286375"/>
        </a:xfrm>
        <a:prstGeom prst="rect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10</xdr:row>
      <xdr:rowOff>95250</xdr:rowOff>
    </xdr:from>
    <xdr:to>
      <xdr:col>11</xdr:col>
      <xdr:colOff>314325</xdr:colOff>
      <xdr:row>11</xdr:row>
      <xdr:rowOff>85725</xdr:rowOff>
    </xdr:to>
    <xdr:sp>
      <xdr:nvSpPr>
        <xdr:cNvPr id="1" name="Line 517"/>
        <xdr:cNvSpPr>
          <a:spLocks/>
        </xdr:cNvSpPr>
      </xdr:nvSpPr>
      <xdr:spPr>
        <a:xfrm flipV="1">
          <a:off x="9258300" y="1762125"/>
          <a:ext cx="533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3">
      <selection activeCell="B7" sqref="B7"/>
    </sheetView>
  </sheetViews>
  <sheetFormatPr defaultColWidth="9.140625" defaultRowHeight="12.75"/>
  <cols>
    <col min="2" max="2" width="7.7109375" style="0" customWidth="1"/>
    <col min="3" max="3" width="18.00390625" style="0" customWidth="1"/>
    <col min="4" max="4" width="5.7109375" style="0" customWidth="1"/>
    <col min="7" max="7" width="14.8515625" style="0" customWidth="1"/>
  </cols>
  <sheetData>
    <row r="2" ht="15.75">
      <c r="C2" s="9" t="s">
        <v>0</v>
      </c>
    </row>
    <row r="6" spans="2:5" ht="12.75">
      <c r="B6" s="7" t="s">
        <v>7</v>
      </c>
      <c r="C6" s="7"/>
      <c r="E6" s="5"/>
    </row>
    <row r="7" spans="2:5" ht="12.75">
      <c r="B7" s="10" t="s">
        <v>8</v>
      </c>
      <c r="C7" t="s">
        <v>5</v>
      </c>
      <c r="E7" s="2"/>
    </row>
    <row r="8" spans="2:5" ht="12.75">
      <c r="B8" s="10"/>
      <c r="C8" t="s">
        <v>9</v>
      </c>
      <c r="E8" s="2"/>
    </row>
    <row r="9" spans="2:5" ht="12.75">
      <c r="B9" s="10"/>
      <c r="C9" t="s">
        <v>6</v>
      </c>
      <c r="E9" s="2"/>
    </row>
    <row r="10" spans="2:5" ht="12.75">
      <c r="B10" s="1"/>
      <c r="E10" s="11"/>
    </row>
    <row r="11" spans="1:3" ht="12.75">
      <c r="A11" s="3"/>
      <c r="C11" s="2"/>
    </row>
    <row r="12" ht="11.25" customHeight="1">
      <c r="E12" s="2"/>
    </row>
    <row r="14" ht="12.75">
      <c r="B14" s="8"/>
    </row>
    <row r="15" ht="12.75">
      <c r="C15" s="4"/>
    </row>
    <row r="19" ht="12.75">
      <c r="C19" s="6"/>
    </row>
    <row r="20" ht="12.75">
      <c r="C20" s="6"/>
    </row>
    <row r="21" ht="12.75">
      <c r="B21" s="1"/>
    </row>
    <row r="23" ht="12.75">
      <c r="B23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SheetLayoutView="100" workbookViewId="0" topLeftCell="A1">
      <selection activeCell="A14" sqref="A14"/>
    </sheetView>
  </sheetViews>
  <sheetFormatPr defaultColWidth="9.140625" defaultRowHeight="12.75"/>
  <cols>
    <col min="1" max="1" width="10.57421875" style="0" customWidth="1"/>
    <col min="2" max="2" width="20.57421875" style="0" customWidth="1"/>
    <col min="3" max="4" width="12.57421875" style="0" customWidth="1"/>
    <col min="5" max="5" width="7.140625" style="0" customWidth="1"/>
    <col min="6" max="6" width="14.28125" style="0" customWidth="1"/>
    <col min="7" max="7" width="5.421875" style="0" customWidth="1"/>
  </cols>
  <sheetData>
    <row r="1" spans="1:13" ht="21.75" customHeight="1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6"/>
      <c r="B2" s="17"/>
      <c r="C2" s="17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18" t="s">
        <v>71</v>
      </c>
      <c r="B3" s="19"/>
      <c r="C3" s="20"/>
      <c r="D3" s="20"/>
      <c r="E3" s="20"/>
      <c r="F3" s="13"/>
      <c r="G3" s="13"/>
      <c r="H3" s="13"/>
      <c r="I3" s="13"/>
      <c r="J3" s="13"/>
      <c r="K3" s="13"/>
      <c r="L3" s="13"/>
      <c r="M3" s="13"/>
    </row>
    <row r="4" spans="1:13" ht="12.75">
      <c r="A4" s="21" t="s">
        <v>67</v>
      </c>
      <c r="B4" s="22"/>
      <c r="C4" s="22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2.75">
      <c r="A5" s="40">
        <v>3</v>
      </c>
      <c r="B5" s="128" t="s">
        <v>59</v>
      </c>
      <c r="C5" s="128"/>
      <c r="D5" s="128"/>
      <c r="E5" s="128"/>
      <c r="F5" s="13"/>
      <c r="G5" s="13"/>
      <c r="H5" s="13"/>
      <c r="I5" s="13"/>
      <c r="J5" s="13"/>
      <c r="K5" s="13"/>
      <c r="L5" s="13"/>
      <c r="M5" s="13"/>
    </row>
    <row r="6" spans="1:13" ht="12.75">
      <c r="A6" s="40">
        <v>3.5</v>
      </c>
      <c r="B6" s="22" t="s">
        <v>60</v>
      </c>
      <c r="C6" s="22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40">
        <v>350</v>
      </c>
      <c r="B7" s="22" t="s">
        <v>61</v>
      </c>
      <c r="C7" s="22"/>
      <c r="D7" s="24"/>
      <c r="E7" s="13"/>
      <c r="F7" s="13"/>
      <c r="G7" s="13"/>
      <c r="H7" s="13"/>
      <c r="I7" s="13"/>
      <c r="J7" s="13"/>
      <c r="K7" s="13"/>
      <c r="L7" s="13"/>
      <c r="M7" s="13"/>
    </row>
    <row r="8" spans="1:13" ht="12.75">
      <c r="A8" s="23"/>
      <c r="B8" s="22"/>
      <c r="C8" s="22"/>
      <c r="D8" s="24"/>
      <c r="E8" s="13"/>
      <c r="F8" s="13"/>
      <c r="G8" s="13"/>
      <c r="H8" s="13"/>
      <c r="I8" s="13"/>
      <c r="J8" s="13"/>
      <c r="K8" s="13"/>
      <c r="L8" s="13"/>
      <c r="M8" s="13"/>
    </row>
    <row r="9" spans="1:13" ht="12.75">
      <c r="A9" s="25" t="s">
        <v>68</v>
      </c>
      <c r="B9" s="22"/>
      <c r="C9" s="22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.75">
      <c r="A10" s="41">
        <v>25</v>
      </c>
      <c r="B10" s="22" t="s">
        <v>64</v>
      </c>
      <c r="C10" s="22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.75">
      <c r="A11" s="42">
        <v>2</v>
      </c>
      <c r="B11" s="22" t="s">
        <v>63</v>
      </c>
      <c r="C11" s="22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.75" customHeight="1">
      <c r="A12" s="23" t="s">
        <v>62</v>
      </c>
      <c r="B12" s="22"/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1.25" customHeight="1">
      <c r="A13" s="25" t="s">
        <v>69</v>
      </c>
      <c r="B13" s="22"/>
      <c r="C13" s="22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 customHeight="1">
      <c r="A14" s="123">
        <v>15.6</v>
      </c>
      <c r="B14" s="23" t="str">
        <f>CONCATENATE(" Volts")</f>
        <v> Volts</v>
      </c>
      <c r="C14" s="22"/>
      <c r="D14" s="12"/>
      <c r="E14" s="12"/>
      <c r="F14" s="13"/>
      <c r="G14" s="13"/>
      <c r="H14" s="13"/>
      <c r="I14" s="13"/>
      <c r="J14" s="13"/>
      <c r="K14" s="13"/>
      <c r="L14" s="13"/>
      <c r="M14" s="13"/>
    </row>
    <row r="15" spans="1:13" ht="14.25" customHeight="1">
      <c r="A15" s="122"/>
      <c r="B15" s="22"/>
      <c r="C15" s="22"/>
      <c r="D15" s="127"/>
      <c r="E15" s="127"/>
      <c r="F15" s="13"/>
      <c r="G15" s="13"/>
      <c r="H15" s="13"/>
      <c r="I15" s="13"/>
      <c r="J15" s="13"/>
      <c r="K15" s="13"/>
      <c r="L15" s="13"/>
      <c r="M15" s="13"/>
    </row>
    <row r="16" spans="1:13" ht="24.75" customHeight="1">
      <c r="A16" s="12"/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.75" customHeight="1">
      <c r="A17" s="13"/>
      <c r="B17" s="26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5">
      <c r="A20" s="82" t="s">
        <v>74</v>
      </c>
      <c r="B20" s="39">
        <f>IF((A14&gt;30),"Input voltage too high.  Exceeds device specification",IF(CALCULATION!B23="N","Min input voltage is too low.  ",IF(AND(CALCULATION!B72="N",CALCULATION!B71="N"),"Consider adding more diodes in series, reducing the applied voltage or using an ON Semiconductor switching supply","")))</f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.75">
      <c r="A21" s="13"/>
      <c r="B21" s="13"/>
      <c r="C21" s="131" t="s">
        <v>77</v>
      </c>
      <c r="D21" s="132"/>
      <c r="E21" s="131" t="s">
        <v>65</v>
      </c>
      <c r="F21" s="132"/>
      <c r="G21" s="13"/>
      <c r="H21" s="33" t="s">
        <v>72</v>
      </c>
      <c r="I21" s="13"/>
      <c r="J21" s="13"/>
      <c r="K21" s="13"/>
      <c r="L21" s="13"/>
      <c r="M21" s="13"/>
    </row>
    <row r="22" spans="1:13" ht="12.75">
      <c r="A22" s="27"/>
      <c r="B22" s="27"/>
      <c r="C22" s="28" t="s">
        <v>1</v>
      </c>
      <c r="D22" s="29" t="s">
        <v>91</v>
      </c>
      <c r="E22" s="30" t="s">
        <v>1</v>
      </c>
      <c r="F22" s="29" t="s">
        <v>91</v>
      </c>
      <c r="G22" s="13"/>
      <c r="H22" s="17" t="s">
        <v>73</v>
      </c>
      <c r="I22" s="13"/>
      <c r="J22" s="13"/>
      <c r="K22" s="13"/>
      <c r="L22" s="13"/>
      <c r="M22" s="13"/>
    </row>
    <row r="23" spans="1:13" ht="12.75">
      <c r="A23" s="129">
        <f>IF(CALCULATION!B27="Y","Figure 1  One NUD","")</f>
      </c>
      <c r="B23" s="130"/>
      <c r="C23" s="87">
        <f>IF(A23="","",CALCULATION!B18)</f>
      </c>
      <c r="D23" s="31">
        <f>IF(A23="","",CALCULATION!B19)</f>
      </c>
      <c r="E23" s="32"/>
      <c r="F23" s="85"/>
      <c r="G23" s="13"/>
      <c r="H23" s="13" t="s">
        <v>75</v>
      </c>
      <c r="I23" s="13"/>
      <c r="J23" s="13"/>
      <c r="K23" s="13"/>
      <c r="L23" s="13"/>
      <c r="M23" s="13"/>
    </row>
    <row r="24" spans="1:13" ht="12.75">
      <c r="A24" s="33" t="str">
        <f>IF(AND(CALCULATION!B41="N",CALCULATION!B40="Y"),"Figure 2  One NUD with Series  R","")</f>
        <v>Figure 2  One NUD with Series  R</v>
      </c>
      <c r="B24" s="33"/>
      <c r="C24" s="88">
        <f>IF(A24="","",CALCULATION!B30)</f>
        <v>1.8571428571428572</v>
      </c>
      <c r="D24" s="34">
        <f>IF(A24="","",CALCULATION!B31)</f>
        <v>0.252118294820185</v>
      </c>
      <c r="E24" s="35">
        <f>IF(A24="","",CALCULATION!B33)</f>
        <v>9.52836587552427</v>
      </c>
      <c r="F24" s="84">
        <f>IF(A24="","",CALCULATION!B34)</f>
        <v>1.2935328845169327</v>
      </c>
      <c r="G24" s="13"/>
      <c r="H24" s="13" t="s">
        <v>76</v>
      </c>
      <c r="I24" s="13"/>
      <c r="J24" s="13"/>
      <c r="K24" s="13"/>
      <c r="L24" s="13"/>
      <c r="M24" s="13"/>
    </row>
    <row r="25" spans="1:13" ht="12.75">
      <c r="A25" s="33">
        <f>IF(AND(CALCULATION!B57="N",CALCULATION!B56="Y"),"Figure 3  Two NUD's with Series R","")</f>
      </c>
      <c r="B25" s="33"/>
      <c r="C25" s="88">
        <f>IF(A25="","",CALCULATION!B45)</f>
      </c>
      <c r="D25" s="36">
        <f>IF(A25="","",CALCULATION!B46)</f>
      </c>
      <c r="E25" s="35">
        <f>IF(A25="","",CALCULATION!B48)</f>
      </c>
      <c r="F25" s="84">
        <f>IF(A25="","",CALCULATION!B49)</f>
      </c>
      <c r="G25" s="13"/>
      <c r="H25" s="13"/>
      <c r="I25" s="13"/>
      <c r="J25" s="13"/>
      <c r="K25" s="13"/>
      <c r="L25" s="13"/>
      <c r="M25" s="13"/>
    </row>
    <row r="26" spans="1:13" ht="12.75">
      <c r="A26" s="33">
        <f>IF(AND(CALCULATION!B72="N",CALCULATION!B71="Y"),"Figure 4 Three NUD's with Series R","")</f>
      </c>
      <c r="B26" s="33"/>
      <c r="C26" s="89">
        <f>IF(A26="","",CALCULATION!B60)</f>
      </c>
      <c r="D26" s="37">
        <f>IF(A26="","",CALCULATION!B61)</f>
      </c>
      <c r="E26" s="38">
        <f>IF(A26="","",CALCULATION!B63)</f>
      </c>
      <c r="F26" s="86">
        <f>IF(A26="","",CALCULATION!B64)</f>
      </c>
      <c r="G26" s="13"/>
      <c r="I26" s="13"/>
      <c r="J26" s="13"/>
      <c r="K26" s="13"/>
      <c r="L26" s="13"/>
      <c r="M26" s="13"/>
    </row>
    <row r="27" spans="2:13" ht="39.75" customHeight="1">
      <c r="B27" s="13"/>
      <c r="C27" s="124" t="s">
        <v>79</v>
      </c>
      <c r="D27" s="124"/>
      <c r="E27" s="124"/>
      <c r="F27" s="124"/>
      <c r="G27" s="13"/>
      <c r="H27" s="125" t="s">
        <v>78</v>
      </c>
      <c r="I27" s="125"/>
      <c r="J27" s="125"/>
      <c r="K27" s="125"/>
      <c r="L27" s="125"/>
      <c r="M27" s="125"/>
    </row>
    <row r="28" ht="14.25" customHeight="1">
      <c r="H28" s="13"/>
    </row>
    <row r="29" spans="3:8" ht="12.75">
      <c r="C29" s="14"/>
      <c r="H29" s="15"/>
    </row>
  </sheetData>
  <sheetProtection password="DE39" sheet="1" objects="1" scenarios="1" selectLockedCells="1"/>
  <protectedRanges>
    <protectedRange sqref="A14:A15" name="Range3"/>
    <protectedRange sqref="A10:A11" name="Range2"/>
    <protectedRange sqref="A5:A7" name="Range1"/>
  </protectedRanges>
  <mergeCells count="8">
    <mergeCell ref="C27:F27"/>
    <mergeCell ref="H27:M27"/>
    <mergeCell ref="A1:M1"/>
    <mergeCell ref="D15:E15"/>
    <mergeCell ref="B5:E5"/>
    <mergeCell ref="A23:B23"/>
    <mergeCell ref="E21:F21"/>
    <mergeCell ref="C21:D21"/>
  </mergeCells>
  <printOptions/>
  <pageMargins left="0.25" right="0.25" top="0.5" bottom="0.5" header="0.5" footer="0.5"/>
  <pageSetup fitToHeight="1" fitToWidth="1" horizontalDpi="600" verticalDpi="600" orientation="landscape" scale="96" r:id="rId2"/>
  <rowBreaks count="1" manualBreakCount="1">
    <brk id="38" min="10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3889"/>
  <sheetViews>
    <sheetView workbookViewId="0" topLeftCell="A1">
      <pane xSplit="14235" ySplit="3315" topLeftCell="J27" activePane="topLeft" state="split"/>
      <selection pane="topLeft" activeCell="F4" sqref="F4"/>
      <selection pane="topRight" activeCell="E4" sqref="E4"/>
      <selection pane="bottomLeft" activeCell="B69" sqref="B69"/>
      <selection pane="bottomRight" activeCell="J56" sqref="J56"/>
    </sheetView>
  </sheetViews>
  <sheetFormatPr defaultColWidth="9.140625" defaultRowHeight="12.75"/>
  <cols>
    <col min="1" max="1" width="30.00390625" style="44" customWidth="1"/>
    <col min="2" max="2" width="12.57421875" style="44" customWidth="1"/>
    <col min="3" max="3" width="3.00390625" style="44" customWidth="1"/>
    <col min="4" max="4" width="3.7109375" style="44" customWidth="1"/>
    <col min="5" max="5" width="25.8515625" style="44" customWidth="1"/>
    <col min="6" max="6" width="6.7109375" style="44" customWidth="1"/>
    <col min="7" max="7" width="16.8515625" style="44" customWidth="1"/>
    <col min="8" max="8" width="16.57421875" style="44" customWidth="1"/>
    <col min="9" max="9" width="10.57421875" style="44" customWidth="1"/>
    <col min="10" max="10" width="7.140625" style="44" customWidth="1"/>
    <col min="11" max="16" width="9.140625" style="44" customWidth="1"/>
    <col min="17" max="17" width="15.421875" style="44" customWidth="1"/>
    <col min="18" max="18" width="11.7109375" style="44" customWidth="1"/>
    <col min="19" max="16384" width="9.140625" style="44" customWidth="1"/>
  </cols>
  <sheetData>
    <row r="1" spans="1:5" ht="15.75">
      <c r="A1" s="43" t="s">
        <v>0</v>
      </c>
      <c r="E1" s="49"/>
    </row>
    <row r="2" spans="5:20" ht="12.75">
      <c r="E2" s="49"/>
      <c r="J2" s="49"/>
      <c r="T2" s="44">
        <v>1</v>
      </c>
    </row>
    <row r="3" spans="1:10" ht="13.5" thickBot="1">
      <c r="A3" s="134" t="s">
        <v>48</v>
      </c>
      <c r="B3" s="135"/>
      <c r="C3" s="136"/>
      <c r="E3" s="76" t="s">
        <v>42</v>
      </c>
      <c r="F3" s="92"/>
      <c r="G3" s="47"/>
      <c r="J3" s="49"/>
    </row>
    <row r="4" spans="1:10" ht="12.75">
      <c r="A4" s="116" t="s">
        <v>43</v>
      </c>
      <c r="B4" s="49"/>
      <c r="C4" s="52"/>
      <c r="E4" s="49" t="s">
        <v>16</v>
      </c>
      <c r="F4" s="111">
        <f>65.3/A11+81.91</f>
        <v>114.56</v>
      </c>
      <c r="G4" s="52" t="s">
        <v>3</v>
      </c>
      <c r="J4" s="49"/>
    </row>
    <row r="5" spans="1:10" ht="12.75">
      <c r="A5" s="117">
        <f>Input!A5</f>
        <v>3</v>
      </c>
      <c r="B5" s="49" t="s">
        <v>39</v>
      </c>
      <c r="C5" s="52"/>
      <c r="E5" s="49" t="s">
        <v>21</v>
      </c>
      <c r="F5" s="112">
        <f>(150-A10)/F4</f>
        <v>1.0911312849162011</v>
      </c>
      <c r="G5" s="55" t="s">
        <v>4</v>
      </c>
      <c r="J5" s="49"/>
    </row>
    <row r="6" spans="1:14" ht="12.75">
      <c r="A6" s="117">
        <f>Input!A6</f>
        <v>3.5</v>
      </c>
      <c r="B6" s="49" t="s">
        <v>40</v>
      </c>
      <c r="C6" s="52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2.75">
      <c r="A7" s="117">
        <f>Input!A7</f>
        <v>350</v>
      </c>
      <c r="B7" s="49" t="s">
        <v>41</v>
      </c>
      <c r="C7" s="52"/>
      <c r="E7" s="49"/>
      <c r="F7" s="49"/>
      <c r="G7" s="49"/>
      <c r="H7" s="49"/>
      <c r="I7" s="49"/>
      <c r="J7" s="49"/>
      <c r="K7" s="133"/>
      <c r="L7" s="133"/>
      <c r="M7" s="133"/>
      <c r="N7" s="133"/>
    </row>
    <row r="8" spans="1:14" ht="12.75">
      <c r="A8" s="118"/>
      <c r="B8" s="49"/>
      <c r="C8" s="52"/>
      <c r="E8" s="119" t="s">
        <v>90</v>
      </c>
      <c r="F8" s="120">
        <f>0.65+(A14-(A5*A6))/20</f>
        <v>0.905</v>
      </c>
      <c r="G8" s="49"/>
      <c r="H8" s="49"/>
      <c r="I8" s="49"/>
      <c r="J8" s="49"/>
      <c r="K8" s="58"/>
      <c r="L8" s="58"/>
      <c r="M8" s="58"/>
      <c r="N8" s="49"/>
    </row>
    <row r="9" spans="1:14" ht="12.75">
      <c r="A9" s="116" t="s">
        <v>44</v>
      </c>
      <c r="B9" s="49"/>
      <c r="C9" s="52"/>
      <c r="E9" s="121" t="s">
        <v>66</v>
      </c>
      <c r="F9" s="55">
        <v>0.65</v>
      </c>
      <c r="G9" s="49"/>
      <c r="H9" s="49"/>
      <c r="I9" s="49"/>
      <c r="J9" s="62"/>
      <c r="K9" s="58"/>
      <c r="L9" s="58"/>
      <c r="M9" s="49"/>
      <c r="N9" s="49"/>
    </row>
    <row r="10" spans="1:14" ht="12.75">
      <c r="A10" s="117">
        <f>Input!A10</f>
        <v>25</v>
      </c>
      <c r="B10" s="49" t="s">
        <v>12</v>
      </c>
      <c r="C10" s="52"/>
      <c r="F10" s="49"/>
      <c r="G10" s="49"/>
      <c r="H10" s="49"/>
      <c r="I10" s="49"/>
      <c r="J10" s="62"/>
      <c r="K10" s="58"/>
      <c r="L10" s="58"/>
      <c r="M10" s="49"/>
      <c r="N10" s="49"/>
    </row>
    <row r="11" spans="1:14" ht="12.75">
      <c r="A11" s="117">
        <f>Input!A11</f>
        <v>2</v>
      </c>
      <c r="B11" s="90" t="s">
        <v>82</v>
      </c>
      <c r="C11" s="52"/>
      <c r="E11" s="48" t="s">
        <v>28</v>
      </c>
      <c r="F11" s="113">
        <v>2</v>
      </c>
      <c r="G11" s="49"/>
      <c r="H11" s="49"/>
      <c r="I11" s="49"/>
      <c r="J11" s="62"/>
      <c r="K11" s="58"/>
      <c r="L11" s="58"/>
      <c r="M11" s="49"/>
      <c r="N11" s="49"/>
    </row>
    <row r="12" spans="1:14" ht="12.75">
      <c r="A12" s="50"/>
      <c r="B12" s="49"/>
      <c r="C12" s="52"/>
      <c r="E12" s="53" t="s">
        <v>27</v>
      </c>
      <c r="F12" s="115" t="s">
        <v>29</v>
      </c>
      <c r="G12" s="49"/>
      <c r="H12" s="49"/>
      <c r="I12" s="49"/>
      <c r="J12" s="62"/>
      <c r="K12" s="58"/>
      <c r="L12" s="58"/>
      <c r="M12" s="49"/>
      <c r="N12" s="49"/>
    </row>
    <row r="13" spans="1:14" ht="12.75">
      <c r="A13" s="116" t="s">
        <v>45</v>
      </c>
      <c r="B13" s="49"/>
      <c r="C13" s="52"/>
      <c r="D13" s="49"/>
      <c r="E13" s="56">
        <v>1.5</v>
      </c>
      <c r="F13" s="114">
        <f>0.7-((0.7-(0.7-0.049*E13))*(1.289*EXP(-1*0.27*F11)))</f>
        <v>0.6447895564477096</v>
      </c>
      <c r="G13" s="49"/>
      <c r="H13" s="49"/>
      <c r="I13" s="49"/>
      <c r="J13" s="62"/>
      <c r="K13" s="49"/>
      <c r="L13" s="49"/>
      <c r="M13" s="49"/>
      <c r="N13" s="49"/>
    </row>
    <row r="14" spans="1:14" ht="12.75">
      <c r="A14" s="117">
        <f>Input!A14</f>
        <v>15.6</v>
      </c>
      <c r="B14" s="59"/>
      <c r="C14" s="52" t="s">
        <v>80</v>
      </c>
      <c r="D14" s="49"/>
      <c r="E14" s="49"/>
      <c r="F14" s="49"/>
      <c r="G14" s="49"/>
      <c r="H14" s="49"/>
      <c r="I14" s="49"/>
      <c r="J14" s="62"/>
      <c r="K14" s="49"/>
      <c r="L14" s="49"/>
      <c r="M14" s="49"/>
      <c r="N14" s="49"/>
    </row>
    <row r="15" spans="1:14" ht="12.75">
      <c r="A15" s="117" t="s">
        <v>81</v>
      </c>
      <c r="B15" s="69"/>
      <c r="C15" s="55"/>
      <c r="D15" s="69"/>
      <c r="E15" s="49"/>
      <c r="F15" s="49"/>
      <c r="G15" s="49"/>
      <c r="H15" s="49"/>
      <c r="I15" s="49"/>
      <c r="J15" s="62"/>
      <c r="K15" s="49"/>
      <c r="L15" s="49"/>
      <c r="M15" s="49"/>
      <c r="N15" s="49"/>
    </row>
    <row r="16" spans="9:10" ht="12.75">
      <c r="I16" s="49"/>
      <c r="J16" s="49"/>
    </row>
    <row r="17" spans="1:10" ht="12.75">
      <c r="A17" s="45" t="s">
        <v>37</v>
      </c>
      <c r="B17" s="94">
        <v>1</v>
      </c>
      <c r="C17" s="46"/>
      <c r="D17" s="46"/>
      <c r="E17" s="95"/>
      <c r="F17" s="96"/>
      <c r="G17" s="97" t="s">
        <v>62</v>
      </c>
      <c r="H17" s="47" t="s">
        <v>15</v>
      </c>
      <c r="I17" s="49"/>
      <c r="J17" s="49"/>
    </row>
    <row r="18" spans="1:10" ht="12.75">
      <c r="A18" s="50" t="s">
        <v>19</v>
      </c>
      <c r="B18" s="60">
        <f>H20</f>
        <v>1.8571428571428572</v>
      </c>
      <c r="C18" s="49" t="s">
        <v>1</v>
      </c>
      <c r="D18" s="49"/>
      <c r="E18" s="50" t="s">
        <v>10</v>
      </c>
      <c r="F18" s="49" t="s">
        <v>2</v>
      </c>
      <c r="G18" s="61">
        <f>$A$5*$A$6</f>
        <v>10.5</v>
      </c>
      <c r="H18" s="98">
        <f>G18</f>
        <v>10.5</v>
      </c>
      <c r="I18" s="51"/>
      <c r="J18" s="51"/>
    </row>
    <row r="19" spans="1:10" ht="12.75">
      <c r="A19" s="50" t="s">
        <v>58</v>
      </c>
      <c r="B19" s="60">
        <f>H21^2*H20</f>
        <v>0.21958830409070662</v>
      </c>
      <c r="C19" s="49" t="s">
        <v>4</v>
      </c>
      <c r="D19" s="49"/>
      <c r="E19" s="50" t="s">
        <v>30</v>
      </c>
      <c r="F19" s="49" t="s">
        <v>2</v>
      </c>
      <c r="G19" s="60">
        <f>$F$9</f>
        <v>0.65</v>
      </c>
      <c r="H19" s="99">
        <f>0.7-((0.7-(0.7-0.049*G25))*(1.289*EXP(-1*0.27*$A$11)))</f>
        <v>0.6385975653368633</v>
      </c>
      <c r="I19" s="62"/>
      <c r="J19" s="51"/>
    </row>
    <row r="20" spans="1:10" ht="12.75">
      <c r="A20" s="50" t="s">
        <v>18</v>
      </c>
      <c r="B20" s="60">
        <f>H25</f>
        <v>1.6448276561036028</v>
      </c>
      <c r="C20" s="49" t="s">
        <v>4</v>
      </c>
      <c r="D20" s="49"/>
      <c r="E20" s="50" t="s">
        <v>13</v>
      </c>
      <c r="F20" s="49"/>
      <c r="G20" s="61">
        <f>1000*G19/$A$7</f>
        <v>1.8571428571428572</v>
      </c>
      <c r="H20" s="98">
        <f>G20</f>
        <v>1.8571428571428572</v>
      </c>
      <c r="I20" s="61"/>
      <c r="J20" s="62"/>
    </row>
    <row r="21" spans="1:10" ht="12.75">
      <c r="A21" s="50"/>
      <c r="B21" s="60" t="s">
        <v>62</v>
      </c>
      <c r="C21" s="49"/>
      <c r="D21" s="49"/>
      <c r="E21" s="50" t="s">
        <v>22</v>
      </c>
      <c r="F21" s="49"/>
      <c r="G21" s="60">
        <f>G19/G20</f>
        <v>0.35</v>
      </c>
      <c r="H21" s="100">
        <f>H19/H20</f>
        <v>0.34386022748908024</v>
      </c>
      <c r="I21" s="60"/>
      <c r="J21" s="61"/>
    </row>
    <row r="22" spans="1:10" ht="12.75">
      <c r="A22" s="50"/>
      <c r="B22" s="49"/>
      <c r="C22" s="49"/>
      <c r="D22" s="49"/>
      <c r="E22" s="50" t="s">
        <v>23</v>
      </c>
      <c r="F22" s="49"/>
      <c r="G22" s="61">
        <f>$A14-G19-G18</f>
        <v>4.449999999999999</v>
      </c>
      <c r="H22" s="98">
        <f>$A14-H19-H18</f>
        <v>4.461402434663137</v>
      </c>
      <c r="I22" s="61"/>
      <c r="J22" s="60"/>
    </row>
    <row r="23" spans="1:10" ht="12.75">
      <c r="A23" s="50" t="s">
        <v>55</v>
      </c>
      <c r="B23" s="60" t="str">
        <f>IF((A$14-H18-H19)&gt;0.7,"Y","N")</f>
        <v>Y</v>
      </c>
      <c r="C23" s="49"/>
      <c r="D23" s="49"/>
      <c r="E23" s="50" t="s">
        <v>34</v>
      </c>
      <c r="F23" s="49"/>
      <c r="G23" s="61">
        <f>G22*G21</f>
        <v>1.5574999999999997</v>
      </c>
      <c r="H23" s="100">
        <f>H22*H21</f>
        <v>1.5340988561036029</v>
      </c>
      <c r="I23" s="61"/>
      <c r="J23" s="61"/>
    </row>
    <row r="24" spans="1:10" ht="12.75">
      <c r="A24" s="50" t="s">
        <v>20</v>
      </c>
      <c r="B24" s="64" t="str">
        <f>IF(H25&lt;F$5,"Y","N")</f>
        <v>N</v>
      </c>
      <c r="C24" s="49"/>
      <c r="D24" s="49"/>
      <c r="E24" s="50" t="s">
        <v>35</v>
      </c>
      <c r="F24" s="49"/>
      <c r="G24" s="63">
        <f>0.000455*$A$14^2</f>
        <v>0.11072879999999999</v>
      </c>
      <c r="H24" s="100">
        <f>0.000455*$A$14^2</f>
        <v>0.11072879999999999</v>
      </c>
      <c r="I24" s="61"/>
      <c r="J24" s="60"/>
    </row>
    <row r="25" spans="1:10" ht="12.75">
      <c r="A25" s="50" t="s">
        <v>36</v>
      </c>
      <c r="B25" s="64" t="str">
        <f>IF(OR(G21&gt;0.5,H21&gt;0.5),"N","Y")</f>
        <v>Y</v>
      </c>
      <c r="C25" s="49"/>
      <c r="D25" s="65"/>
      <c r="E25" s="66" t="s">
        <v>24</v>
      </c>
      <c r="F25" s="65"/>
      <c r="G25" s="67">
        <f>G23+G24</f>
        <v>1.6682287999999996</v>
      </c>
      <c r="H25" s="101">
        <f>H23+H24</f>
        <v>1.6448276561036028</v>
      </c>
      <c r="I25" s="67"/>
      <c r="J25" s="60"/>
    </row>
    <row r="26" spans="1:10" ht="12.75">
      <c r="A26" s="93" t="s">
        <v>32</v>
      </c>
      <c r="B26" s="64" t="str">
        <f>IF(H26&lt;150,"Y","N")</f>
        <v>N</v>
      </c>
      <c r="C26" s="49"/>
      <c r="D26" s="65"/>
      <c r="E26" s="66" t="s">
        <v>31</v>
      </c>
      <c r="F26" s="65"/>
      <c r="G26" s="68">
        <f>$A$10+$F$4*G25</f>
        <v>216.11229132799997</v>
      </c>
      <c r="H26" s="102">
        <f>$A$10+$F$4*H25</f>
        <v>213.43145628322875</v>
      </c>
      <c r="I26" s="68"/>
      <c r="J26" s="60"/>
    </row>
    <row r="27" spans="1:10" ht="12.75">
      <c r="A27" s="54" t="s">
        <v>46</v>
      </c>
      <c r="B27" s="103" t="str">
        <f>IF(OR(B23="N",B24="N",B25="N",B26="N"),"N","Y")</f>
        <v>N</v>
      </c>
      <c r="C27" s="69"/>
      <c r="D27" s="104"/>
      <c r="E27" s="54" t="s">
        <v>25</v>
      </c>
      <c r="F27" s="69" t="s">
        <v>26</v>
      </c>
      <c r="G27" s="70">
        <v>1</v>
      </c>
      <c r="H27" s="105">
        <f>H21/$G21</f>
        <v>0.9824577928259436</v>
      </c>
      <c r="I27" s="71"/>
      <c r="J27" s="51"/>
    </row>
    <row r="28" spans="2:10" ht="12.75">
      <c r="B28" s="57"/>
      <c r="J28" s="49"/>
    </row>
    <row r="29" spans="1:10" ht="12.75">
      <c r="A29" s="45" t="s">
        <v>51</v>
      </c>
      <c r="B29" s="94">
        <v>2</v>
      </c>
      <c r="C29" s="46"/>
      <c r="D29" s="47"/>
      <c r="E29" s="96" t="s">
        <v>17</v>
      </c>
      <c r="F29" s="96"/>
      <c r="G29" s="106" t="s">
        <v>14</v>
      </c>
      <c r="H29" s="107" t="s">
        <v>15</v>
      </c>
      <c r="I29" s="49"/>
      <c r="J29" s="49"/>
    </row>
    <row r="30" spans="1:10" ht="12.75">
      <c r="A30" s="50" t="s">
        <v>19</v>
      </c>
      <c r="B30" s="60">
        <f>H32</f>
        <v>1.8571428571428572</v>
      </c>
      <c r="C30" s="49" t="s">
        <v>1</v>
      </c>
      <c r="D30" s="52"/>
      <c r="E30" s="49" t="s">
        <v>10</v>
      </c>
      <c r="F30" s="49" t="s">
        <v>2</v>
      </c>
      <c r="G30" s="51">
        <f>$A$5*$A$6</f>
        <v>10.5</v>
      </c>
      <c r="H30" s="108">
        <f>$A$5*$A$6</f>
        <v>10.5</v>
      </c>
      <c r="I30" s="61"/>
      <c r="J30" s="49"/>
    </row>
    <row r="31" spans="1:10" ht="12.75">
      <c r="A31" s="50" t="s">
        <v>58</v>
      </c>
      <c r="B31" s="60">
        <f>(H32*H33^2)</f>
        <v>0.252118294820185</v>
      </c>
      <c r="C31" s="49" t="s">
        <v>4</v>
      </c>
      <c r="D31" s="52"/>
      <c r="E31" s="49" t="s">
        <v>30</v>
      </c>
      <c r="F31" s="49" t="s">
        <v>2</v>
      </c>
      <c r="G31" s="60">
        <f>$F$9</f>
        <v>0.65</v>
      </c>
      <c r="H31" s="99">
        <f>0.7-((0.7-(0.7-0.049*G40))*(1.289*EXP(-1*0.27*$A$11)))</f>
        <v>0.6842658038951994</v>
      </c>
      <c r="I31" s="61"/>
      <c r="J31" s="49"/>
    </row>
    <row r="32" spans="1:10" ht="12.75">
      <c r="A32" s="50" t="s">
        <v>18</v>
      </c>
      <c r="B32" s="60">
        <f>H40</f>
        <v>0.44417678982123754</v>
      </c>
      <c r="C32" s="49" t="s">
        <v>4</v>
      </c>
      <c r="D32" s="52"/>
      <c r="E32" s="49" t="s">
        <v>13</v>
      </c>
      <c r="F32" s="49" t="s">
        <v>50</v>
      </c>
      <c r="G32" s="61">
        <f>1000*G31/$A$7</f>
        <v>1.8571428571428572</v>
      </c>
      <c r="H32" s="98">
        <f>G32</f>
        <v>1.8571428571428572</v>
      </c>
      <c r="I32" s="83"/>
      <c r="J32" s="49"/>
    </row>
    <row r="33" spans="1:10" ht="12.75">
      <c r="A33" s="50" t="s">
        <v>49</v>
      </c>
      <c r="B33" s="51">
        <f>H35</f>
        <v>9.52836587552427</v>
      </c>
      <c r="C33" s="49" t="s">
        <v>1</v>
      </c>
      <c r="D33" s="52"/>
      <c r="E33" s="49" t="s">
        <v>22</v>
      </c>
      <c r="F33" s="49" t="s">
        <v>33</v>
      </c>
      <c r="G33" s="60">
        <f>$A$7*0.001</f>
        <v>0.35000000000000003</v>
      </c>
      <c r="H33" s="100">
        <f>H31/H32</f>
        <v>0.36845081748203046</v>
      </c>
      <c r="I33" s="61"/>
      <c r="J33" s="49"/>
    </row>
    <row r="34" spans="1:10" ht="12.75">
      <c r="A34" s="50" t="s">
        <v>57</v>
      </c>
      <c r="B34" s="61">
        <f>H36</f>
        <v>1.2935328845169327</v>
      </c>
      <c r="C34" s="49" t="s">
        <v>4</v>
      </c>
      <c r="D34" s="52"/>
      <c r="E34" s="49" t="s">
        <v>89</v>
      </c>
      <c r="F34" s="49" t="s">
        <v>2</v>
      </c>
      <c r="G34" s="51">
        <f>($A$14-G30-G31-G37)</f>
        <v>3.544999999999999</v>
      </c>
      <c r="H34" s="108">
        <f>($A$14-H30-H31-H37)</f>
        <v>3.5107341961048</v>
      </c>
      <c r="I34" s="72"/>
      <c r="J34" s="49"/>
    </row>
    <row r="35" spans="1:10" ht="12.75">
      <c r="A35" s="50"/>
      <c r="B35" s="61"/>
      <c r="C35" s="49"/>
      <c r="D35" s="52"/>
      <c r="E35" s="49" t="s">
        <v>84</v>
      </c>
      <c r="F35" s="49" t="s">
        <v>50</v>
      </c>
      <c r="G35" s="60">
        <f>G34/G33</f>
        <v>10.128571428571425</v>
      </c>
      <c r="H35" s="100">
        <f>H34/H33</f>
        <v>9.52836587552427</v>
      </c>
      <c r="I35" s="72"/>
      <c r="J35" s="49"/>
    </row>
    <row r="36" spans="1:10" ht="12.75">
      <c r="A36" s="50" t="s">
        <v>55</v>
      </c>
      <c r="B36" s="60" t="str">
        <f>IF((H34)&gt;0,"Y","N")</f>
        <v>Y</v>
      </c>
      <c r="C36" s="49"/>
      <c r="D36" s="52"/>
      <c r="E36" s="49" t="s">
        <v>85</v>
      </c>
      <c r="F36" s="49" t="s">
        <v>11</v>
      </c>
      <c r="G36" s="60">
        <f>G35*G33^2</f>
        <v>1.2407499999999998</v>
      </c>
      <c r="H36" s="100">
        <f>H35*H33^2</f>
        <v>1.2935328845169327</v>
      </c>
      <c r="I36" s="72"/>
      <c r="J36" s="49"/>
    </row>
    <row r="37" spans="1:10" ht="12.75">
      <c r="A37" s="50" t="s">
        <v>20</v>
      </c>
      <c r="B37" s="64" t="str">
        <f>IF((H40&lt;F$5),"Y","N")</f>
        <v>Y</v>
      </c>
      <c r="C37" s="49"/>
      <c r="D37" s="52"/>
      <c r="E37" s="49" t="s">
        <v>87</v>
      </c>
      <c r="F37" s="49" t="s">
        <v>2</v>
      </c>
      <c r="G37" s="60">
        <f>$F$8</f>
        <v>0.905</v>
      </c>
      <c r="H37" s="100">
        <f>$F$8</f>
        <v>0.905</v>
      </c>
      <c r="I37" s="72"/>
      <c r="J37" s="71"/>
    </row>
    <row r="38" spans="1:9" ht="12.75">
      <c r="A38" s="50" t="s">
        <v>36</v>
      </c>
      <c r="B38" s="64" t="str">
        <f>IF(OR(G33&gt;0.5,H33&gt;0.5),"N","Y")</f>
        <v>Y</v>
      </c>
      <c r="C38" s="49"/>
      <c r="D38" s="52"/>
      <c r="E38" s="49" t="s">
        <v>86</v>
      </c>
      <c r="F38" s="49" t="s">
        <v>11</v>
      </c>
      <c r="G38" s="60">
        <f>G37*G33</f>
        <v>0.31675000000000003</v>
      </c>
      <c r="H38" s="100">
        <f>H37*H33</f>
        <v>0.3334479898212376</v>
      </c>
      <c r="I38" s="72"/>
    </row>
    <row r="39" spans="1:9" ht="12.75">
      <c r="A39" s="93" t="s">
        <v>38</v>
      </c>
      <c r="B39" s="72" t="str">
        <f>IF(H41&lt;150,"Y","N")</f>
        <v>Y</v>
      </c>
      <c r="C39" s="49"/>
      <c r="D39" s="52"/>
      <c r="E39" s="49" t="s">
        <v>52</v>
      </c>
      <c r="F39" s="49" t="s">
        <v>11</v>
      </c>
      <c r="G39" s="60">
        <f>0.000455*$A$14^2</f>
        <v>0.11072879999999999</v>
      </c>
      <c r="H39" s="100">
        <f>0.000455*$A$14^2</f>
        <v>0.11072879999999999</v>
      </c>
      <c r="I39" s="72"/>
    </row>
    <row r="40" spans="1:9" ht="12.75">
      <c r="A40" s="50" t="s">
        <v>46</v>
      </c>
      <c r="B40" s="58" t="str">
        <f>IF(OR(B36="N",B37="N",B38="N",B39="N"),"N","Y")</f>
        <v>Y</v>
      </c>
      <c r="C40" s="49"/>
      <c r="D40" s="52"/>
      <c r="E40" s="49" t="s">
        <v>53</v>
      </c>
      <c r="F40" s="49" t="s">
        <v>11</v>
      </c>
      <c r="G40" s="60">
        <f>G39+G38</f>
        <v>0.42747880000000005</v>
      </c>
      <c r="H40" s="100">
        <f>H39+H38</f>
        <v>0.44417678982123754</v>
      </c>
      <c r="I40" s="72"/>
    </row>
    <row r="41" spans="1:9" ht="12.75">
      <c r="A41" s="50" t="s">
        <v>47</v>
      </c>
      <c r="B41" s="58" t="str">
        <f>IF(B27="Y","Y","N")</f>
        <v>N</v>
      </c>
      <c r="C41" s="49"/>
      <c r="D41" s="52"/>
      <c r="E41" s="49" t="s">
        <v>31</v>
      </c>
      <c r="F41" s="49" t="s">
        <v>54</v>
      </c>
      <c r="G41" s="68">
        <f>$A$10+$F$4*G40</f>
        <v>73.97197132800001</v>
      </c>
      <c r="H41" s="102">
        <f>$A$10+$F$4*H40</f>
        <v>75.88489304192098</v>
      </c>
      <c r="I41" s="72"/>
    </row>
    <row r="42" spans="1:9" ht="12.75">
      <c r="A42" s="54"/>
      <c r="B42" s="69"/>
      <c r="C42" s="69"/>
      <c r="D42" s="55"/>
      <c r="E42" s="69" t="s">
        <v>25</v>
      </c>
      <c r="F42" s="69" t="s">
        <v>26</v>
      </c>
      <c r="G42" s="109">
        <v>1</v>
      </c>
      <c r="H42" s="110">
        <f>H33/G33</f>
        <v>1.0527166213772299</v>
      </c>
      <c r="I42" s="72"/>
    </row>
    <row r="43" spans="4:10" ht="12.75">
      <c r="D43" s="49"/>
      <c r="E43" s="49"/>
      <c r="F43" s="49"/>
      <c r="G43" s="60"/>
      <c r="H43" s="73"/>
      <c r="I43" s="73"/>
      <c r="J43" s="49"/>
    </row>
    <row r="44" spans="1:10" ht="12.75">
      <c r="A44" s="45" t="s">
        <v>56</v>
      </c>
      <c r="B44" s="94">
        <v>4</v>
      </c>
      <c r="C44" s="46"/>
      <c r="D44" s="47"/>
      <c r="E44" s="96" t="s">
        <v>17</v>
      </c>
      <c r="F44" s="96"/>
      <c r="G44" s="106" t="s">
        <v>14</v>
      </c>
      <c r="H44" s="107" t="s">
        <v>15</v>
      </c>
      <c r="I44" s="73"/>
      <c r="J44" s="49"/>
    </row>
    <row r="45" spans="1:10" ht="12.75">
      <c r="A45" s="50" t="s">
        <v>19</v>
      </c>
      <c r="B45" s="60">
        <f>G47</f>
        <v>3.7142857142857144</v>
      </c>
      <c r="C45" s="49" t="s">
        <v>1</v>
      </c>
      <c r="D45" s="52"/>
      <c r="E45" s="49" t="s">
        <v>10</v>
      </c>
      <c r="F45" s="49" t="s">
        <v>2</v>
      </c>
      <c r="G45" s="51">
        <f>$A$5*$A$6</f>
        <v>10.5</v>
      </c>
      <c r="H45" s="108">
        <f>$A$5*$A$6</f>
        <v>10.5</v>
      </c>
      <c r="I45" s="73"/>
      <c r="J45" s="49"/>
    </row>
    <row r="46" spans="1:10" ht="12.75">
      <c r="A46" s="50" t="s">
        <v>58</v>
      </c>
      <c r="B46" s="60">
        <f>(H47*H48^2)</f>
        <v>0.12821610741111292</v>
      </c>
      <c r="C46" s="49" t="s">
        <v>4</v>
      </c>
      <c r="D46" s="52"/>
      <c r="E46" s="49" t="s">
        <v>30</v>
      </c>
      <c r="F46" s="49" t="s">
        <v>2</v>
      </c>
      <c r="G46" s="60">
        <f>$F$9</f>
        <v>0.65</v>
      </c>
      <c r="H46" s="99">
        <f>0.7-((0.7-(0.7-0.049*G55))*(1.289*EXP(-1*0.27*$A$11)))</f>
        <v>0.6900951065602621</v>
      </c>
      <c r="I46" s="73"/>
      <c r="J46" s="49"/>
    </row>
    <row r="47" spans="1:10" ht="12.75">
      <c r="A47" s="50" t="s">
        <v>18</v>
      </c>
      <c r="B47" s="60">
        <f>H55</f>
        <v>0.27887312692535615</v>
      </c>
      <c r="C47" s="49" t="s">
        <v>33</v>
      </c>
      <c r="D47" s="52"/>
      <c r="E47" s="49" t="s">
        <v>13</v>
      </c>
      <c r="F47" s="49" t="s">
        <v>50</v>
      </c>
      <c r="G47" s="61">
        <f>2000*G46/$A$7</f>
        <v>3.7142857142857144</v>
      </c>
      <c r="H47" s="98">
        <f>G47</f>
        <v>3.7142857142857144</v>
      </c>
      <c r="I47" s="73"/>
      <c r="J47" s="49"/>
    </row>
    <row r="48" spans="1:10" ht="12.75">
      <c r="A48" s="50" t="s">
        <v>49</v>
      </c>
      <c r="B48" s="51">
        <f>H50</f>
        <v>9.432191339916786</v>
      </c>
      <c r="C48" s="49" t="s">
        <v>1</v>
      </c>
      <c r="D48" s="52"/>
      <c r="E48" s="49" t="s">
        <v>22</v>
      </c>
      <c r="F48" s="49" t="s">
        <v>33</v>
      </c>
      <c r="G48" s="60">
        <f>$A$7*0.001/2</f>
        <v>0.17500000000000002</v>
      </c>
      <c r="H48" s="100">
        <f>H46/(H47)</f>
        <v>0.185794836381609</v>
      </c>
      <c r="I48" s="73"/>
      <c r="J48" s="49"/>
    </row>
    <row r="49" spans="1:10" ht="12.75">
      <c r="A49" s="50" t="s">
        <v>57</v>
      </c>
      <c r="B49" s="61">
        <f>H51</f>
        <v>1.3023864624194734</v>
      </c>
      <c r="C49" s="49" t="s">
        <v>4</v>
      </c>
      <c r="D49" s="52"/>
      <c r="E49" s="49" t="s">
        <v>83</v>
      </c>
      <c r="F49" s="49" t="s">
        <v>2</v>
      </c>
      <c r="G49" s="51">
        <f>($A$14-G45-G46-G52)</f>
        <v>3.544999999999999</v>
      </c>
      <c r="H49" s="108">
        <f>($A$14-H45-H46-H52)</f>
        <v>3.504904893439737</v>
      </c>
      <c r="I49" s="73"/>
      <c r="J49" s="49"/>
    </row>
    <row r="50" spans="1:10" ht="12.75">
      <c r="A50" s="50"/>
      <c r="B50" s="61"/>
      <c r="C50" s="49"/>
      <c r="D50" s="52"/>
      <c r="E50" s="49" t="s">
        <v>84</v>
      </c>
      <c r="F50" s="49" t="s">
        <v>50</v>
      </c>
      <c r="G50" s="60">
        <f>G49/(2*G48)</f>
        <v>10.128571428571425</v>
      </c>
      <c r="H50" s="100">
        <f>H49/(2*H48)</f>
        <v>9.432191339916786</v>
      </c>
      <c r="I50" s="73"/>
      <c r="J50" s="49"/>
    </row>
    <row r="51" spans="1:10" ht="12.75">
      <c r="A51" s="50"/>
      <c r="B51" s="49"/>
      <c r="C51" s="49"/>
      <c r="D51" s="52"/>
      <c r="E51" s="49" t="s">
        <v>85</v>
      </c>
      <c r="F51" s="49" t="s">
        <v>11</v>
      </c>
      <c r="G51" s="60">
        <f>G50*(2*G48)^2</f>
        <v>1.2407499999999998</v>
      </c>
      <c r="H51" s="100">
        <f>H50*(2*H48)^2</f>
        <v>1.3023864624194734</v>
      </c>
      <c r="I51" s="73"/>
      <c r="J51" s="49"/>
    </row>
    <row r="52" spans="1:10" ht="12.75">
      <c r="A52" s="50" t="s">
        <v>55</v>
      </c>
      <c r="B52" s="60" t="str">
        <f>IF((G49)&gt;0,"Y","N")</f>
        <v>Y</v>
      </c>
      <c r="C52" s="49"/>
      <c r="D52" s="52"/>
      <c r="E52" s="49" t="s">
        <v>87</v>
      </c>
      <c r="F52" s="49" t="s">
        <v>2</v>
      </c>
      <c r="G52" s="60">
        <f>$F$8</f>
        <v>0.905</v>
      </c>
      <c r="H52" s="100">
        <f>$F$8</f>
        <v>0.905</v>
      </c>
      <c r="I52" s="73"/>
      <c r="J52" s="49"/>
    </row>
    <row r="53" spans="1:10" ht="12.75">
      <c r="A53" s="50" t="s">
        <v>20</v>
      </c>
      <c r="B53" s="64" t="str">
        <f>IF((H55&lt;F$5),"Y","N")</f>
        <v>Y</v>
      </c>
      <c r="C53" s="49"/>
      <c r="D53" s="52"/>
      <c r="E53" s="49" t="s">
        <v>86</v>
      </c>
      <c r="F53" s="49" t="s">
        <v>11</v>
      </c>
      <c r="G53" s="60">
        <f>G52*G48</f>
        <v>0.15837500000000002</v>
      </c>
      <c r="H53" s="100">
        <f>H52*H48</f>
        <v>0.16814432692535616</v>
      </c>
      <c r="I53" s="73"/>
      <c r="J53" s="49"/>
    </row>
    <row r="54" spans="1:10" ht="12.75">
      <c r="A54" s="50" t="s">
        <v>36</v>
      </c>
      <c r="B54" s="64" t="str">
        <f>IF(OR(G48&gt;0.5,H48&gt;0.5),"N","Y")</f>
        <v>Y</v>
      </c>
      <c r="C54" s="49"/>
      <c r="D54" s="52"/>
      <c r="E54" s="49" t="s">
        <v>52</v>
      </c>
      <c r="F54" s="49" t="s">
        <v>11</v>
      </c>
      <c r="G54" s="60">
        <f>0.000455*$A$14^2</f>
        <v>0.11072879999999999</v>
      </c>
      <c r="H54" s="100">
        <f>0.000455*$A$14^2</f>
        <v>0.11072879999999999</v>
      </c>
      <c r="I54" s="73"/>
      <c r="J54" s="49"/>
    </row>
    <row r="55" spans="1:10" ht="12.75">
      <c r="A55" s="93" t="s">
        <v>38</v>
      </c>
      <c r="B55" s="72" t="str">
        <f>IF(H56&lt;150,"Y","N")</f>
        <v>Y</v>
      </c>
      <c r="C55" s="49"/>
      <c r="D55" s="52"/>
      <c r="E55" s="49" t="s">
        <v>53</v>
      </c>
      <c r="F55" s="49" t="s">
        <v>11</v>
      </c>
      <c r="G55" s="60">
        <f>G54+G53</f>
        <v>0.2691038</v>
      </c>
      <c r="H55" s="100">
        <f>H54+H53</f>
        <v>0.27887312692535615</v>
      </c>
      <c r="I55" s="73"/>
      <c r="J55" s="49"/>
    </row>
    <row r="56" spans="1:10" ht="12.75">
      <c r="A56" s="50" t="s">
        <v>46</v>
      </c>
      <c r="B56" s="58" t="str">
        <f>IF(OR(B52="N",B53="N",B54="N",B55="N"),"N","Y")</f>
        <v>Y</v>
      </c>
      <c r="C56" s="49"/>
      <c r="D56" s="52"/>
      <c r="E56" s="49" t="s">
        <v>31</v>
      </c>
      <c r="F56" s="49" t="s">
        <v>54</v>
      </c>
      <c r="G56" s="68">
        <f>$A$10+$F$4*G55</f>
        <v>55.828531328</v>
      </c>
      <c r="H56" s="102">
        <f>$A$10+$F$4*H55</f>
        <v>56.9477054205688</v>
      </c>
      <c r="I56" s="73"/>
      <c r="J56" s="49"/>
    </row>
    <row r="57" spans="1:10" ht="12.75">
      <c r="A57" s="54" t="s">
        <v>47</v>
      </c>
      <c r="B57" s="103" t="str">
        <f>IF(OR(B27="Y",B40="Y"),"Y","N")</f>
        <v>Y</v>
      </c>
      <c r="C57" s="69"/>
      <c r="D57" s="55"/>
      <c r="E57" s="69" t="s">
        <v>25</v>
      </c>
      <c r="F57" s="69" t="s">
        <v>26</v>
      </c>
      <c r="G57" s="109">
        <v>1</v>
      </c>
      <c r="H57" s="110">
        <f>H48/G48</f>
        <v>1.06168477932348</v>
      </c>
      <c r="I57" s="73"/>
      <c r="J57" s="49"/>
    </row>
    <row r="58" spans="3:10" ht="12.75">
      <c r="C58" s="49"/>
      <c r="D58" s="49"/>
      <c r="E58"/>
      <c r="F58"/>
      <c r="G58"/>
      <c r="H58"/>
      <c r="I58" s="73"/>
      <c r="J58" s="49"/>
    </row>
    <row r="59" spans="1:8" ht="12.75">
      <c r="A59" s="45" t="s">
        <v>88</v>
      </c>
      <c r="B59" s="94"/>
      <c r="C59" s="46"/>
      <c r="D59" s="47"/>
      <c r="E59" s="96" t="s">
        <v>17</v>
      </c>
      <c r="F59" s="96"/>
      <c r="G59" s="106" t="s">
        <v>14</v>
      </c>
      <c r="H59" s="107" t="s">
        <v>15</v>
      </c>
    </row>
    <row r="60" spans="1:15" ht="12.75">
      <c r="A60" s="50" t="s">
        <v>19</v>
      </c>
      <c r="B60" s="60">
        <f>G62</f>
        <v>5.571428571428571</v>
      </c>
      <c r="C60" s="49" t="s">
        <v>1</v>
      </c>
      <c r="D60" s="52"/>
      <c r="E60" s="49" t="s">
        <v>10</v>
      </c>
      <c r="F60" s="49" t="s">
        <v>2</v>
      </c>
      <c r="G60" s="51">
        <f>$A$5*$A$6</f>
        <v>10.5</v>
      </c>
      <c r="H60" s="108">
        <f>$A$5*$A$6</f>
        <v>10.5</v>
      </c>
      <c r="O60" s="75"/>
    </row>
    <row r="61" spans="1:15" ht="12.75">
      <c r="A61" s="50" t="s">
        <v>58</v>
      </c>
      <c r="B61" s="60">
        <f>(H62*H63^2)</f>
        <v>0.08595944010207329</v>
      </c>
      <c r="C61" s="49" t="s">
        <v>4</v>
      </c>
      <c r="D61" s="52"/>
      <c r="E61" s="49" t="s">
        <v>30</v>
      </c>
      <c r="F61" s="49" t="s">
        <v>2</v>
      </c>
      <c r="G61" s="60">
        <f>$F$9</f>
        <v>0.65</v>
      </c>
      <c r="H61" s="99">
        <f>0.7-((0.7-(0.7-0.049*G70))*(1.289*EXP(-1*0.27*$A$11)))</f>
        <v>0.6920382074486163</v>
      </c>
      <c r="J61" s="75"/>
      <c r="O61" s="75"/>
    </row>
    <row r="62" spans="1:15" ht="12.75">
      <c r="A62" s="50" t="s">
        <v>18</v>
      </c>
      <c r="B62" s="60">
        <f>H70</f>
        <v>0.22314064728684574</v>
      </c>
      <c r="C62" s="49" t="s">
        <v>33</v>
      </c>
      <c r="D62" s="52"/>
      <c r="E62" s="49" t="s">
        <v>13</v>
      </c>
      <c r="F62" s="49" t="s">
        <v>50</v>
      </c>
      <c r="G62" s="61">
        <f>3000*G61/$A$7</f>
        <v>5.571428571428571</v>
      </c>
      <c r="H62" s="98">
        <f>G62</f>
        <v>5.571428571428571</v>
      </c>
      <c r="J62" s="57"/>
      <c r="O62" s="75"/>
    </row>
    <row r="63" spans="1:15" ht="12.75">
      <c r="A63" s="50" t="s">
        <v>49</v>
      </c>
      <c r="B63" s="51">
        <f>H65</f>
        <v>9.400493212456295</v>
      </c>
      <c r="C63" s="49" t="s">
        <v>1</v>
      </c>
      <c r="D63" s="52"/>
      <c r="E63" s="49" t="s">
        <v>22</v>
      </c>
      <c r="F63" s="49" t="s">
        <v>33</v>
      </c>
      <c r="G63" s="60">
        <f>$A$7*0.001/3</f>
        <v>0.11666666666666668</v>
      </c>
      <c r="H63" s="100">
        <f>H61/(H62)</f>
        <v>0.12421198595231575</v>
      </c>
      <c r="J63" s="57"/>
      <c r="O63" s="75"/>
    </row>
    <row r="64" spans="1:15" ht="12.75">
      <c r="A64" s="50" t="s">
        <v>57</v>
      </c>
      <c r="B64" s="61">
        <f>H66</f>
        <v>1.3053295229036734</v>
      </c>
      <c r="C64" s="49" t="s">
        <v>4</v>
      </c>
      <c r="D64" s="52"/>
      <c r="E64" s="49" t="s">
        <v>83</v>
      </c>
      <c r="F64" s="49" t="s">
        <v>2</v>
      </c>
      <c r="G64" s="51">
        <f>($A$14-G60-G61-G67)</f>
        <v>3.544999999999999</v>
      </c>
      <c r="H64" s="108">
        <f>($A$14-H60-H61-H67)</f>
        <v>3.5029617925513827</v>
      </c>
      <c r="J64" s="57"/>
      <c r="O64" s="75"/>
    </row>
    <row r="65" spans="1:15" ht="12.75">
      <c r="A65" s="50"/>
      <c r="B65" s="61"/>
      <c r="C65" s="49"/>
      <c r="D65" s="52"/>
      <c r="E65" s="49" t="s">
        <v>84</v>
      </c>
      <c r="F65" s="49" t="s">
        <v>50</v>
      </c>
      <c r="G65" s="60">
        <f>G64/(3*G63)</f>
        <v>10.128571428571425</v>
      </c>
      <c r="H65" s="100">
        <f>H64/(3*H63)</f>
        <v>9.400493212456295</v>
      </c>
      <c r="J65" s="57"/>
      <c r="O65" s="75"/>
    </row>
    <row r="66" spans="1:15" ht="12.75">
      <c r="A66" s="50"/>
      <c r="B66" s="49"/>
      <c r="C66" s="49"/>
      <c r="D66" s="52"/>
      <c r="E66" s="49" t="s">
        <v>85</v>
      </c>
      <c r="F66" s="49" t="s">
        <v>11</v>
      </c>
      <c r="G66" s="60">
        <f>G65*(3*G63)^2</f>
        <v>1.2407499999999998</v>
      </c>
      <c r="H66" s="100">
        <f>H65*(3*H63)^2</f>
        <v>1.3053295229036734</v>
      </c>
      <c r="J66" s="57"/>
      <c r="O66" s="75"/>
    </row>
    <row r="67" spans="1:15" ht="12.75">
      <c r="A67" s="50" t="s">
        <v>55</v>
      </c>
      <c r="B67" s="60" t="str">
        <f>IF((G64)&gt;0,"Y","N")</f>
        <v>Y</v>
      </c>
      <c r="C67" s="49"/>
      <c r="D67" s="52"/>
      <c r="E67" s="49" t="s">
        <v>87</v>
      </c>
      <c r="F67" s="49" t="s">
        <v>2</v>
      </c>
      <c r="G67" s="60">
        <f>$F$8</f>
        <v>0.905</v>
      </c>
      <c r="H67" s="100">
        <f>$F$8</f>
        <v>0.905</v>
      </c>
      <c r="J67" s="57"/>
      <c r="O67" s="75"/>
    </row>
    <row r="68" spans="1:15" ht="12.75">
      <c r="A68" s="50" t="s">
        <v>20</v>
      </c>
      <c r="B68" s="64" t="str">
        <f>IF((H70&lt;F$5),"Y","N")</f>
        <v>Y</v>
      </c>
      <c r="C68" s="49"/>
      <c r="D68" s="52"/>
      <c r="E68" s="49" t="s">
        <v>86</v>
      </c>
      <c r="F68" s="49" t="s">
        <v>11</v>
      </c>
      <c r="G68" s="60">
        <f>G67*G63</f>
        <v>0.10558333333333335</v>
      </c>
      <c r="H68" s="100">
        <f>H67*H63</f>
        <v>0.11241184728684576</v>
      </c>
      <c r="J68" s="57"/>
      <c r="O68" s="75"/>
    </row>
    <row r="69" spans="1:10" s="74" customFormat="1" ht="12.75">
      <c r="A69" s="50" t="s">
        <v>36</v>
      </c>
      <c r="B69" s="64" t="str">
        <f>IF(OR(G63&gt;0.5,H63&gt;0.5),"N","Y")</f>
        <v>Y</v>
      </c>
      <c r="C69" s="49"/>
      <c r="D69" s="52"/>
      <c r="E69" s="49" t="s">
        <v>52</v>
      </c>
      <c r="F69" s="49" t="s">
        <v>11</v>
      </c>
      <c r="G69" s="60">
        <f>0.000455*$A$14^2</f>
        <v>0.11072879999999999</v>
      </c>
      <c r="H69" s="100">
        <f>0.000455*$A$14^2</f>
        <v>0.11072879999999999</v>
      </c>
      <c r="J69" s="91"/>
    </row>
    <row r="70" spans="1:10" s="74" customFormat="1" ht="12.75">
      <c r="A70" s="93" t="s">
        <v>38</v>
      </c>
      <c r="B70" s="72" t="str">
        <f>IF(H71&lt;150,"Y","N")</f>
        <v>Y</v>
      </c>
      <c r="C70" s="49"/>
      <c r="D70" s="52"/>
      <c r="E70" s="49" t="s">
        <v>53</v>
      </c>
      <c r="F70" s="49" t="s">
        <v>11</v>
      </c>
      <c r="G70" s="60">
        <f>G69+G68</f>
        <v>0.21631213333333332</v>
      </c>
      <c r="H70" s="100">
        <f>H69+H68</f>
        <v>0.22314064728684574</v>
      </c>
      <c r="J70" s="91"/>
    </row>
    <row r="71" spans="1:10" s="74" customFormat="1" ht="12.75">
      <c r="A71" s="50" t="s">
        <v>46</v>
      </c>
      <c r="B71" s="58" t="str">
        <f>IF(OR(B67="N",B68="N",B69="N",B70="N"),"N","Y")</f>
        <v>Y</v>
      </c>
      <c r="C71" s="49"/>
      <c r="D71" s="52"/>
      <c r="E71" s="49" t="s">
        <v>31</v>
      </c>
      <c r="F71" s="49" t="s">
        <v>54</v>
      </c>
      <c r="G71" s="68">
        <f>$A$10+$F$4*G70</f>
        <v>49.78071799466667</v>
      </c>
      <c r="H71" s="102">
        <f>$A$10+$F$4*H70</f>
        <v>50.56299255318105</v>
      </c>
      <c r="J71" s="91"/>
    </row>
    <row r="72" spans="1:10" s="74" customFormat="1" ht="12.75">
      <c r="A72" s="54" t="s">
        <v>47</v>
      </c>
      <c r="B72" s="103" t="str">
        <f>IF(OR(B27="Y",B40="Y",B56="Y"),"Y","N")</f>
        <v>Y</v>
      </c>
      <c r="C72" s="69"/>
      <c r="D72" s="55"/>
      <c r="E72" s="69" t="s">
        <v>25</v>
      </c>
      <c r="F72" s="69" t="s">
        <v>26</v>
      </c>
      <c r="G72" s="109">
        <v>1</v>
      </c>
      <c r="H72" s="110">
        <f>H63/G63</f>
        <v>1.0646741653055634</v>
      </c>
      <c r="J72" s="91"/>
    </row>
    <row r="73" spans="1:15" ht="12.75">
      <c r="A73" s="49"/>
      <c r="B73" s="49"/>
      <c r="C73" s="49"/>
      <c r="D73" s="49"/>
      <c r="E73" s="49"/>
      <c r="F73" s="49"/>
      <c r="G73" s="61"/>
      <c r="H73" s="61"/>
      <c r="I73" s="49"/>
      <c r="J73" s="49"/>
      <c r="K73" s="49"/>
      <c r="L73" s="49"/>
      <c r="M73" s="49"/>
      <c r="N73" s="49"/>
      <c r="O73" s="49"/>
    </row>
    <row r="74" spans="1:15" ht="12.75">
      <c r="A74" s="49"/>
      <c r="B74" s="49"/>
      <c r="C74" s="49"/>
      <c r="D74" s="49"/>
      <c r="E74" s="49"/>
      <c r="F74" s="49"/>
      <c r="G74" s="60"/>
      <c r="H74" s="60"/>
      <c r="I74" s="49"/>
      <c r="J74" s="49"/>
      <c r="K74" s="49"/>
      <c r="L74" s="49"/>
      <c r="M74" s="49"/>
      <c r="N74" s="49"/>
      <c r="O74" s="49"/>
    </row>
    <row r="75" spans="1:15" ht="12.75">
      <c r="A75" s="49"/>
      <c r="B75" s="49"/>
      <c r="C75" s="49"/>
      <c r="D75" s="49"/>
      <c r="E75" s="49"/>
      <c r="F75" s="49"/>
      <c r="G75" s="60"/>
      <c r="H75" s="60"/>
      <c r="I75" s="49"/>
      <c r="J75" s="49"/>
      <c r="K75" s="49"/>
      <c r="L75" s="49"/>
      <c r="M75" s="49"/>
      <c r="N75" s="49"/>
      <c r="O75" s="49"/>
    </row>
    <row r="76" spans="1:15" ht="12.75">
      <c r="A76" s="49"/>
      <c r="B76" s="49"/>
      <c r="C76" s="49"/>
      <c r="D76" s="49"/>
      <c r="E76" s="49"/>
      <c r="F76" s="49"/>
      <c r="G76" s="68"/>
      <c r="H76" s="68"/>
      <c r="I76" s="49"/>
      <c r="J76" s="49"/>
      <c r="K76" s="49"/>
      <c r="L76" s="49"/>
      <c r="M76" s="49"/>
      <c r="N76" s="49"/>
      <c r="O76" s="49"/>
    </row>
    <row r="77" spans="1:15" ht="12.75">
      <c r="A77" s="49"/>
      <c r="B77" s="49"/>
      <c r="C77" s="49"/>
      <c r="D77" s="49"/>
      <c r="E77" s="49"/>
      <c r="F77" s="49"/>
      <c r="G77" s="71"/>
      <c r="H77" s="71"/>
      <c r="I77" s="49"/>
      <c r="J77" s="49"/>
      <c r="K77" s="49"/>
      <c r="L77" s="49"/>
      <c r="M77" s="49"/>
      <c r="N77" s="49"/>
      <c r="O77" s="49"/>
    </row>
    <row r="78" spans="1:15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1:8" ht="12.75">
      <c r="A79" s="76"/>
      <c r="B79" s="58"/>
      <c r="C79" s="49"/>
      <c r="D79" s="49"/>
      <c r="E79" s="77"/>
      <c r="F79" s="77"/>
      <c r="G79" s="78"/>
      <c r="H79" s="49"/>
    </row>
    <row r="80" spans="1:8" ht="12.75">
      <c r="A80" s="49"/>
      <c r="B80" s="51"/>
      <c r="C80" s="49"/>
      <c r="D80" s="49"/>
      <c r="E80" s="49"/>
      <c r="F80" s="49"/>
      <c r="G80" s="51"/>
      <c r="H80" s="51"/>
    </row>
    <row r="81" spans="1:8" ht="12.75">
      <c r="A81" s="49"/>
      <c r="B81" s="61"/>
      <c r="C81" s="49"/>
      <c r="D81" s="49"/>
      <c r="E81" s="49"/>
      <c r="F81" s="49"/>
      <c r="G81" s="60"/>
      <c r="H81" s="79"/>
    </row>
    <row r="82" spans="1:8" ht="12.75">
      <c r="A82" s="49"/>
      <c r="B82" s="51"/>
      <c r="C82" s="49"/>
      <c r="D82" s="49"/>
      <c r="E82" s="49"/>
      <c r="F82" s="49"/>
      <c r="G82" s="61"/>
      <c r="H82" s="61"/>
    </row>
    <row r="83" spans="1:8" ht="12.75">
      <c r="A83" s="49"/>
      <c r="B83" s="61"/>
      <c r="C83" s="49"/>
      <c r="D83" s="49"/>
      <c r="E83" s="49"/>
      <c r="F83" s="49"/>
      <c r="G83" s="60"/>
      <c r="H83" s="60"/>
    </row>
    <row r="84" spans="1:8" ht="12.75">
      <c r="A84" s="49"/>
      <c r="B84" s="51"/>
      <c r="C84" s="49"/>
      <c r="D84" s="49"/>
      <c r="E84" s="49"/>
      <c r="F84" s="49"/>
      <c r="G84" s="51"/>
      <c r="H84" s="60"/>
    </row>
    <row r="85" spans="1:8" ht="12.75">
      <c r="A85" s="49"/>
      <c r="B85" s="51"/>
      <c r="C85" s="49"/>
      <c r="D85" s="49"/>
      <c r="E85" s="49"/>
      <c r="F85" s="49"/>
      <c r="G85" s="60"/>
      <c r="H85" s="60"/>
    </row>
    <row r="86" spans="1:8" ht="12.75">
      <c r="A86" s="49"/>
      <c r="B86" s="64"/>
      <c r="C86" s="49"/>
      <c r="D86" s="49"/>
      <c r="E86" s="49"/>
      <c r="F86" s="49"/>
      <c r="G86" s="60"/>
      <c r="H86" s="60"/>
    </row>
    <row r="87" spans="1:8" ht="12.75">
      <c r="A87" s="49"/>
      <c r="B87" s="64"/>
      <c r="C87" s="49"/>
      <c r="D87" s="49"/>
      <c r="E87" s="49"/>
      <c r="F87" s="49"/>
      <c r="G87" s="61"/>
      <c r="H87" s="61"/>
    </row>
    <row r="88" spans="1:8" ht="12.75">
      <c r="A88" s="80"/>
      <c r="B88" s="72"/>
      <c r="C88" s="49"/>
      <c r="D88" s="49"/>
      <c r="E88" s="49"/>
      <c r="F88" s="49"/>
      <c r="G88" s="61"/>
      <c r="H88" s="61"/>
    </row>
    <row r="89" spans="1:8" ht="12.75">
      <c r="A89" s="49"/>
      <c r="B89" s="58"/>
      <c r="C89" s="49"/>
      <c r="D89" s="49"/>
      <c r="E89" s="49"/>
      <c r="F89" s="49"/>
      <c r="G89" s="60"/>
      <c r="H89" s="60"/>
    </row>
    <row r="90" spans="1:8" ht="12.75">
      <c r="A90" s="49"/>
      <c r="B90" s="58"/>
      <c r="C90" s="49"/>
      <c r="D90" s="49"/>
      <c r="E90" s="49"/>
      <c r="F90" s="49"/>
      <c r="G90" s="51"/>
      <c r="H90" s="60"/>
    </row>
    <row r="91" spans="1:8" ht="12.75">
      <c r="A91" s="49"/>
      <c r="B91" s="58"/>
      <c r="C91" s="49"/>
      <c r="D91" s="49"/>
      <c r="E91" s="49"/>
      <c r="F91" s="49"/>
      <c r="G91" s="51"/>
      <c r="H91" s="60"/>
    </row>
    <row r="92" spans="1:8" ht="12.75">
      <c r="A92" s="49"/>
      <c r="B92" s="58"/>
      <c r="C92" s="49"/>
      <c r="D92" s="49"/>
      <c r="E92" s="49"/>
      <c r="F92" s="49"/>
      <c r="G92" s="51"/>
      <c r="H92" s="51"/>
    </row>
    <row r="93" spans="1:8" ht="12.75">
      <c r="A93" s="49"/>
      <c r="B93" s="49"/>
      <c r="C93" s="49"/>
      <c r="D93" s="49"/>
      <c r="E93" s="49"/>
      <c r="F93" s="49"/>
      <c r="G93" s="60"/>
      <c r="H93" s="60"/>
    </row>
    <row r="94" spans="1:8" ht="12.75">
      <c r="A94" s="49"/>
      <c r="B94" s="49"/>
      <c r="C94" s="49"/>
      <c r="D94" s="49"/>
      <c r="E94" s="49"/>
      <c r="F94" s="49"/>
      <c r="G94" s="61"/>
      <c r="H94" s="61"/>
    </row>
    <row r="95" spans="1:8" ht="12.75">
      <c r="A95" s="49"/>
      <c r="B95" s="49"/>
      <c r="C95" s="49"/>
      <c r="D95" s="49"/>
      <c r="E95" s="49"/>
      <c r="F95" s="49"/>
      <c r="G95" s="60"/>
      <c r="H95" s="60"/>
    </row>
    <row r="96" spans="1:8" ht="12.75">
      <c r="A96" s="49"/>
      <c r="B96" s="49"/>
      <c r="C96" s="49"/>
      <c r="D96" s="49"/>
      <c r="E96" s="49"/>
      <c r="F96" s="49"/>
      <c r="G96" s="60"/>
      <c r="H96" s="60"/>
    </row>
    <row r="97" spans="1:8" ht="12.75">
      <c r="A97" s="49"/>
      <c r="B97" s="49"/>
      <c r="C97" s="49"/>
      <c r="D97" s="49"/>
      <c r="E97" s="49"/>
      <c r="F97" s="49"/>
      <c r="G97" s="60"/>
      <c r="H97" s="60"/>
    </row>
    <row r="98" spans="1:8" ht="12.75">
      <c r="A98" s="49"/>
      <c r="B98" s="49"/>
      <c r="C98" s="49"/>
      <c r="D98" s="49"/>
      <c r="E98" s="49"/>
      <c r="F98" s="49"/>
      <c r="G98" s="51"/>
      <c r="H98" s="51"/>
    </row>
    <row r="99" spans="1:8" ht="12.75">
      <c r="A99" s="49"/>
      <c r="B99" s="49"/>
      <c r="C99" s="49"/>
      <c r="D99" s="49"/>
      <c r="E99" s="49"/>
      <c r="F99" s="49"/>
      <c r="G99" s="71"/>
      <c r="H99" s="81"/>
    </row>
    <row r="100" spans="1:8" ht="12.75">
      <c r="A100" s="49"/>
      <c r="B100" s="49"/>
      <c r="C100" s="49"/>
      <c r="D100" s="49"/>
      <c r="E100" s="49"/>
      <c r="F100" s="49"/>
      <c r="G100" s="49"/>
      <c r="H100" s="49"/>
    </row>
    <row r="101" spans="1:8" ht="12.75">
      <c r="A101" s="49"/>
      <c r="B101" s="49"/>
      <c r="C101" s="49"/>
      <c r="D101" s="49"/>
      <c r="E101" s="49"/>
      <c r="F101" s="49"/>
      <c r="G101" s="49"/>
      <c r="H101" s="49"/>
    </row>
    <row r="102" spans="1:8" ht="12.75">
      <c r="A102" s="49"/>
      <c r="B102" s="49"/>
      <c r="C102" s="49"/>
      <c r="D102" s="49"/>
      <c r="E102" s="49"/>
      <c r="F102" s="49"/>
      <c r="G102" s="49"/>
      <c r="H102" s="49"/>
    </row>
    <row r="103" spans="1:8" ht="12.75">
      <c r="A103" s="49"/>
      <c r="B103" s="49"/>
      <c r="C103" s="49"/>
      <c r="D103" s="49"/>
      <c r="E103" s="49"/>
      <c r="F103" s="49"/>
      <c r="G103" s="49"/>
      <c r="H103" s="49"/>
    </row>
    <row r="104" spans="1:8" ht="12.75">
      <c r="A104" s="49"/>
      <c r="B104" s="49"/>
      <c r="C104" s="49"/>
      <c r="D104" s="49"/>
      <c r="E104" s="49"/>
      <c r="F104" s="49"/>
      <c r="G104" s="49"/>
      <c r="H104" s="49"/>
    </row>
    <row r="105" spans="1:8" ht="12.75">
      <c r="A105" s="49"/>
      <c r="B105" s="49"/>
      <c r="C105" s="49"/>
      <c r="D105" s="49"/>
      <c r="E105" s="49"/>
      <c r="F105" s="49"/>
      <c r="G105" s="49"/>
      <c r="H105" s="49"/>
    </row>
    <row r="106" spans="1:8" ht="12.75">
      <c r="A106" s="49"/>
      <c r="B106" s="49"/>
      <c r="C106" s="49"/>
      <c r="D106" s="49"/>
      <c r="E106" s="49"/>
      <c r="F106" s="49"/>
      <c r="G106" s="49"/>
      <c r="H106" s="49"/>
    </row>
    <row r="107" spans="1:8" ht="12.75">
      <c r="A107" s="49"/>
      <c r="B107" s="49"/>
      <c r="C107" s="49"/>
      <c r="D107" s="49"/>
      <c r="E107" s="49"/>
      <c r="F107" s="49"/>
      <c r="G107" s="49"/>
      <c r="H107" s="49"/>
    </row>
    <row r="108" spans="1:8" ht="12.75">
      <c r="A108" s="49"/>
      <c r="B108" s="49"/>
      <c r="C108" s="49"/>
      <c r="D108" s="49"/>
      <c r="E108" s="49"/>
      <c r="F108" s="49"/>
      <c r="G108" s="49"/>
      <c r="H108" s="49"/>
    </row>
    <row r="109" spans="1:8" ht="12.75">
      <c r="A109" s="49"/>
      <c r="B109" s="49"/>
      <c r="C109" s="49"/>
      <c r="D109" s="49"/>
      <c r="E109" s="49"/>
      <c r="F109" s="49"/>
      <c r="G109" s="49"/>
      <c r="H109" s="49"/>
    </row>
    <row r="110" spans="1:8" ht="12.75">
      <c r="A110" s="49"/>
      <c r="B110" s="49"/>
      <c r="C110" s="49"/>
      <c r="D110" s="49"/>
      <c r="E110" s="49"/>
      <c r="F110" s="49"/>
      <c r="G110" s="49"/>
      <c r="H110" s="49"/>
    </row>
    <row r="111" spans="1:8" ht="12.75">
      <c r="A111" s="49"/>
      <c r="B111" s="49"/>
      <c r="C111" s="49"/>
      <c r="D111" s="49"/>
      <c r="E111" s="49"/>
      <c r="F111" s="49"/>
      <c r="G111" s="49"/>
      <c r="H111" s="49"/>
    </row>
    <row r="112" spans="1:8" ht="12.75">
      <c r="A112" s="49"/>
      <c r="B112" s="49"/>
      <c r="C112" s="49"/>
      <c r="D112" s="49"/>
      <c r="E112" s="49"/>
      <c r="F112" s="49"/>
      <c r="G112" s="49"/>
      <c r="H112" s="49"/>
    </row>
    <row r="113" spans="1:8" ht="12.75">
      <c r="A113" s="49"/>
      <c r="B113" s="49"/>
      <c r="C113" s="49"/>
      <c r="D113" s="49"/>
      <c r="E113" s="49"/>
      <c r="F113" s="49"/>
      <c r="G113" s="49"/>
      <c r="H113" s="49"/>
    </row>
    <row r="114" spans="1:8" ht="12.75">
      <c r="A114" s="49"/>
      <c r="B114" s="49"/>
      <c r="C114" s="49"/>
      <c r="D114" s="49"/>
      <c r="E114" s="49"/>
      <c r="F114" s="49"/>
      <c r="G114" s="49"/>
      <c r="H114" s="49"/>
    </row>
    <row r="115" spans="1:8" ht="12.75">
      <c r="A115" s="49"/>
      <c r="B115" s="49"/>
      <c r="C115" s="49"/>
      <c r="D115" s="49"/>
      <c r="E115" s="49"/>
      <c r="F115" s="49"/>
      <c r="G115" s="49"/>
      <c r="H115" s="49"/>
    </row>
    <row r="116" spans="1:8" ht="12.75">
      <c r="A116" s="49"/>
      <c r="B116" s="49"/>
      <c r="C116" s="49"/>
      <c r="D116" s="49"/>
      <c r="E116" s="49"/>
      <c r="F116" s="49"/>
      <c r="G116" s="49"/>
      <c r="H116" s="49"/>
    </row>
    <row r="117" spans="1:8" ht="12.75">
      <c r="A117" s="49"/>
      <c r="B117" s="49"/>
      <c r="C117" s="49"/>
      <c r="D117" s="49"/>
      <c r="E117" s="49"/>
      <c r="F117" s="49"/>
      <c r="G117" s="49"/>
      <c r="H117" s="49"/>
    </row>
    <row r="3889" ht="12.75">
      <c r="J3889" s="47"/>
    </row>
  </sheetData>
  <sheetProtection/>
  <mergeCells count="2">
    <mergeCell ref="K7:N7"/>
    <mergeCell ref="A3:C3"/>
  </mergeCells>
  <printOptions headings="1"/>
  <pageMargins left="0.25" right="0.25" top="0.25" bottom="0.25" header="0.25" footer="0.25"/>
  <pageSetup fitToWidth="2" fitToHeight="1" horizontalDpi="600" verticalDpi="600" orientation="portrait" scale="76" r:id="rId4"/>
  <rowBreaks count="1" manualBreakCount="1">
    <brk id="42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Girand</dc:creator>
  <cp:keywords/>
  <dc:description/>
  <cp:lastModifiedBy>Administrator</cp:lastModifiedBy>
  <cp:lastPrinted>2004-08-31T14:36:31Z</cp:lastPrinted>
  <dcterms:created xsi:type="dcterms:W3CDTF">2003-01-27T23:18:57Z</dcterms:created>
  <dcterms:modified xsi:type="dcterms:W3CDTF">2004-09-13T20:44:34Z</dcterms:modified>
  <cp:category/>
  <cp:version/>
  <cp:contentType/>
  <cp:contentStatus/>
</cp:coreProperties>
</file>