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Flyback" sheetId="1" r:id="rId1"/>
    <sheet name="Core data" sheetId="2" r:id="rId2"/>
  </sheets>
  <definedNames>
    <definedName name="Ae">'Flyback'!$C$56</definedName>
    <definedName name="AL">'Flyback'!$C$73</definedName>
    <definedName name="Bmax">'Flyback'!#REF!</definedName>
    <definedName name="Bsat">'Flyback'!$C$55</definedName>
    <definedName name="CB">'Flyback'!#REF!*10^-9</definedName>
    <definedName name="Cdc">'Flyback'!$C$23/1000000</definedName>
    <definedName name="CF">'Flyback'!#REF!*10^-9</definedName>
    <definedName name="Co_1">'Flyback'!$C$106</definedName>
    <definedName name="Co_2">'Flyback'!$C$107</definedName>
    <definedName name="Co_3">'Flyback'!$C$108</definedName>
    <definedName name="Co_4">'Flyback'!$C$109</definedName>
    <definedName name="Co_5">'Flyback'!$C$110</definedName>
    <definedName name="Co_6">'Flyback'!$C$111</definedName>
    <definedName name="dI">'Flyback'!$C$42</definedName>
    <definedName name="didt">'Flyback'!$C$48</definedName>
    <definedName name="Dmax">'Flyback'!$C$28</definedName>
    <definedName name="Eff">'Flyback'!$C$19/100</definedName>
    <definedName name="ffi">'Flyback'!$C$206</definedName>
    <definedName name="ffp">'Flyback'!$C$208</definedName>
    <definedName name="ffz">'Flyback'!$C$207</definedName>
    <definedName name="fi">'Flyback'!$G$139</definedName>
    <definedName name="fL">'Flyback'!$C$9</definedName>
    <definedName name="fp">'Flyback'!$G$141</definedName>
    <definedName name="fp_1">'Flyback'!$G$129</definedName>
    <definedName name="fs">'Flyback'!#REF!</definedName>
    <definedName name="fs_min">'Flyback'!#REF!</definedName>
    <definedName name="fsw">'Flyback'!#REF!</definedName>
    <definedName name="fsw_max">'Flyback'!$C$35</definedName>
    <definedName name="fsw_min">'Flyback'!$F$34</definedName>
    <definedName name="fswmin">'Flyback'!#REF!</definedName>
    <definedName name="fz">'Flyback'!$G$140</definedName>
    <definedName name="fz_1">'Flyback'!$G$127</definedName>
    <definedName name="fzr">'Flyback'!$G$128</definedName>
    <definedName name="IEDC">'Flyback'!$C$41</definedName>
    <definedName name="Ilim">'Flyback'!#REF!</definedName>
    <definedName name="Ilim_max">'Flyback'!$C$57</definedName>
    <definedName name="Ilim_max_act">'Flyback'!$C$58</definedName>
    <definedName name="Ilim_min">'Flyback'!$C$50</definedName>
    <definedName name="Ilim_min_act">'Flyback'!$C$51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'Flyback'!$E$17</definedName>
    <definedName name="Io1rms">'Flyback'!$G$81</definedName>
    <definedName name="Io2rms">'Flyback'!$G$82</definedName>
    <definedName name="Io3rms">'Flyback'!$G$83</definedName>
    <definedName name="Io4rms">'Flyback'!$G$84</definedName>
    <definedName name="Io5rms">'Flyback'!$G$85</definedName>
    <definedName name="Io6rms">'Flyback'!$G$86</definedName>
    <definedName name="Ipk">'Flyback'!$C$43</definedName>
    <definedName name="Irms">'Flyback'!$C$44</definedName>
    <definedName name="k_1">'Flyback'!$C$126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'Flyback'!$I$17/100</definedName>
    <definedName name="KRF">'Flyback'!$C$36</definedName>
    <definedName name="Llk">'Flyback'!$C$114</definedName>
    <definedName name="Lm">'Flyback'!#REF!/1000000</definedName>
    <definedName name="Lm_max">'Flyback'!$C$40</definedName>
    <definedName name="Lm_min">'Flyback'!$C$37</definedName>
    <definedName name="Lm_tol">'Flyback'!$C$38</definedName>
    <definedName name="Lm_typ">'Flyback'!#REF!</definedName>
    <definedName name="Lmmin">'Flyback'!#REF!</definedName>
    <definedName name="n">'Flyback'!#REF!</definedName>
    <definedName name="Nc">'Flyback'!$I$64</definedName>
    <definedName name="Np">'Flyback'!$I$71</definedName>
    <definedName name="Ns1">'Flyback'!$I$65</definedName>
    <definedName name="Ns2">'Flyback'!$I$66</definedName>
    <definedName name="Ns3">'Flyback'!$I$67</definedName>
    <definedName name="Ns4">'Flyback'!$I$68</definedName>
    <definedName name="Ns5">'Flyback'!$I$69</definedName>
    <definedName name="Ns6">'Flyback'!$I$70</definedName>
    <definedName name="Pin">'Flyback'!$C$20</definedName>
    <definedName name="Po">'Flyback'!$C$18</definedName>
    <definedName name="R_1">'Flyback'!$C$131</definedName>
    <definedName name="Rc_1">'Flyback'!$E$106</definedName>
    <definedName name="Rc_2">'Flyback'!$E$107</definedName>
    <definedName name="Rc_3">'Flyback'!$E$108</definedName>
    <definedName name="Rc_4">'Flyback'!$E$109</definedName>
    <definedName name="Rc_5">'Flyback'!$E$110</definedName>
    <definedName name="Rc_6">'Flyback'!$E$111</definedName>
    <definedName name="RD">'Flyback'!#REF!*1000</definedName>
    <definedName name="Rsn">'Flyback'!$C$117*1000</definedName>
    <definedName name="tCLD">'Flyback'!$C$49</definedName>
    <definedName name="V_line_max">'Flyback'!$C$8</definedName>
    <definedName name="V_line_min">'Flyback'!$C$7</definedName>
    <definedName name="Vcc">'Flyback'!$C$64</definedName>
    <definedName name="Vdc_ccm">'Flyback'!#REF!</definedName>
    <definedName name="Vdc_max">'Flyback'!$C$25</definedName>
    <definedName name="Vdc_min">'Flyback'!$C$24</definedName>
    <definedName name="VF1">'Flyback'!$E$65</definedName>
    <definedName name="VF2">'Flyback'!$E$66</definedName>
    <definedName name="VF3">'Flyback'!$E$67</definedName>
    <definedName name="VF4">'Flyback'!$E$68</definedName>
    <definedName name="VF5">'Flyback'!$E$69</definedName>
    <definedName name="VF6">'Flyback'!$E$70</definedName>
    <definedName name="VFC">'Flyback'!$E$64</definedName>
    <definedName name="Vforward">'Flyback'!#REF!</definedName>
    <definedName name="Vo1">'Flyback'!$C$12</definedName>
    <definedName name="Vo2">'Flyback'!$C$13</definedName>
    <definedName name="Vo3">'Flyback'!$C$14</definedName>
    <definedName name="Vo4">'Flyback'!$C$15</definedName>
    <definedName name="Vo5">'Flyback'!$C$16</definedName>
    <definedName name="Vo6">'Flyback'!$C$17</definedName>
    <definedName name="Vr_margin">'Flyback'!#REF!</definedName>
    <definedName name="Vreverse">'Flyback'!#REF!</definedName>
    <definedName name="VRO">'Flyback'!$C$30</definedName>
    <definedName name="Vsn">'Flyback'!$C$115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49" authorId="1">
      <text>
        <r>
          <rPr>
            <b/>
            <sz val="9"/>
            <rFont val="굴림"/>
            <family val="3"/>
          </rPr>
          <t>typically 0.2~0.5us</t>
        </r>
      </text>
    </comment>
    <comment ref="C2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9"/>
            <color indexed="10"/>
            <rFont val="굴림"/>
            <family val="3"/>
          </rPr>
          <t>Caution!
Select Bsat after considering maximum operating temperature.
Careless selection may lead to core saturation error!!!!!!!!.</t>
        </r>
      </text>
    </comment>
  </commentList>
</comments>
</file>

<file path=xl/sharedStrings.xml><?xml version="1.0" encoding="utf-8"?>
<sst xmlns="http://schemas.openxmlformats.org/spreadsheetml/2006/main" count="503" uniqueCount="316">
  <si>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</si>
  <si>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</si>
  <si>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</si>
  <si>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</si>
  <si>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</si>
  <si>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</si>
  <si>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</si>
  <si>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</si>
  <si>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</si>
  <si>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</si>
  <si>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</si>
  <si>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</si>
  <si>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</si>
  <si>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</si>
  <si>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</si>
  <si>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</si>
  <si>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</si>
  <si>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</si>
  <si>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</si>
  <si>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</si>
  <si>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</si>
  <si>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</si>
  <si>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</si>
  <si>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</si>
  <si>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</si>
  <si>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</si>
  <si>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</si>
  <si>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</si>
  <si>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</si>
  <si>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</si>
  <si>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</si>
  <si>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</si>
  <si>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</si>
  <si>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</si>
  <si>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</si>
  <si>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</si>
  <si>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</si>
  <si>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</si>
  <si>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</si>
  <si>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4. Determine transformer primary inductance (Lm)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</si>
  <si>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</si>
  <si>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</si>
  <si>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</si>
  <si>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</si>
  <si>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</si>
  <si>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</si>
  <si>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</si>
  <si>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</si>
  <si>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</si>
  <si>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</si>
  <si>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</si>
  <si>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</si>
  <si>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</si>
  <si>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</si>
  <si>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V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</si>
  <si>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</si>
  <si>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</si>
  <si>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</si>
  <si>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</si>
  <si>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</si>
  <si>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</si>
  <si>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</si>
  <si>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</si>
  <si>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</si>
  <si>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</si>
  <si>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</si>
  <si>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</si>
  <si>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</si>
  <si>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</si>
  <si>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</si>
  <si>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</si>
  <si>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</si>
  <si>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</si>
  <si>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</si>
  <si>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</si>
  <si>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</si>
  <si>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</si>
  <si>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</si>
  <si>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</si>
  <si>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</si>
  <si>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</si>
  <si>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</si>
  <si>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</si>
  <si>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</si>
  <si>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</si>
  <si>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</si>
  <si>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</si>
  <si>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</si>
  <si>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</si>
  <si>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</si>
  <si>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</si>
  <si>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</si>
  <si>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</si>
  <si>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</si>
  <si>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</si>
  <si>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</si>
  <si>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</si>
  <si>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</si>
  <si>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</si>
  <si>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</si>
  <si>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</si>
  <si>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</si>
  <si>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</si>
  <si>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</si>
  <si>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</si>
  <si>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</si>
  <si>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</si>
  <si>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</si>
  <si>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</si>
  <si>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</si>
  <si>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</si>
  <si>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</si>
  <si>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</si>
  <si>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</si>
  <si>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</si>
  <si>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</si>
  <si>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</si>
  <si>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</si>
  <si>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</si>
  <si>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</si>
  <si>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</si>
  <si>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t>7. Determine the number of turns for each output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</si>
  <si>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</si>
  <si>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</si>
  <si>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</si>
  <si>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</si>
  <si>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</si>
  <si>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</si>
  <si>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</si>
  <si>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</si>
  <si>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</si>
  <si>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</si>
  <si>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</si>
  <si>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</si>
  <si>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</si>
  <si>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</si>
  <si>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</si>
  <si>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</si>
  <si>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</si>
  <si>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</si>
  <si>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</si>
  <si>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</si>
  <si>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</si>
  <si>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</si>
  <si>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</si>
  <si>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</si>
  <si>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</si>
  <si>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</si>
  <si>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</si>
  <si>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</si>
  <si>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</si>
  <si>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</si>
  <si>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</si>
  <si>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</si>
  <si>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</si>
  <si>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</si>
  <si>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</si>
  <si>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</si>
  <si>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</si>
  <si>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</si>
  <si>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</si>
  <si>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</si>
  <si>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</si>
  <si>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</si>
  <si>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</si>
  <si>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</si>
  <si>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</si>
  <si>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</si>
  <si>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</si>
  <si>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</si>
  <si>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</si>
  <si>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</si>
  <si>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</si>
  <si>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</si>
  <si>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</si>
  <si>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</si>
  <si>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</si>
  <si>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</si>
  <si>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</si>
  <si>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</si>
  <si>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</si>
  <si>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</si>
  <si>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</si>
  <si>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</si>
  <si>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</si>
  <si>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</si>
  <si>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</si>
  <si>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</si>
  <si>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</si>
  <si>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</si>
  <si>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</si>
  <si>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</si>
  <si>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</si>
  <si>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</si>
  <si>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</si>
  <si>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</si>
  <si>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</si>
  <si>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</si>
  <si>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</si>
  <si>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</si>
  <si>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</si>
  <si>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</si>
  <si>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</si>
  <si>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</si>
  <si>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</si>
  <si>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</si>
  <si>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</si>
  <si>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</si>
  <si>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</si>
  <si>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</si>
  <si>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</si>
  <si>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</si>
  <si>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</si>
  <si>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</si>
  <si>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</si>
  <si>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</si>
  <si>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</si>
  <si>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</si>
  <si>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</si>
  <si>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</si>
  <si>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</si>
  <si>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</si>
  <si>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</si>
  <si>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</si>
  <si>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</si>
  <si>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</si>
  <si>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</si>
  <si>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</si>
  <si>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</si>
  <si>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</si>
  <si>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</si>
  <si>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</si>
  <si>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</si>
  <si>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</si>
  <si>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</si>
  <si>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</si>
  <si>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</si>
  <si>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</si>
  <si>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</si>
  <si>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</si>
  <si>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</si>
  <si>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</si>
  <si>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</si>
  <si>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</si>
  <si>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</si>
  <si>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</si>
  <si>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</si>
  <si>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</si>
  <si>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</si>
  <si>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</si>
  <si>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</si>
  <si>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</si>
  <si>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</si>
  <si>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</si>
  <si>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</si>
  <si>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</si>
  <si>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</si>
  <si>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</si>
  <si>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</si>
  <si>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</si>
  <si>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</si>
  <si>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</si>
  <si>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</si>
  <si>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</si>
  <si>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</si>
  <si>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</si>
  <si>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</si>
  <si>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</si>
  <si>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</si>
  <si>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</si>
  <si>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</si>
  <si>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</si>
  <si>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</si>
  <si>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</si>
  <si>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</si>
  <si>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</si>
  <si>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</si>
  <si>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</si>
  <si>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</si>
  <si>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</si>
  <si>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</si>
  <si>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</si>
  <si>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</si>
  <si>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</si>
  <si>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</si>
  <si>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</si>
  <si>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t>di/dt test condition @ datasheet</t>
  </si>
  <si>
    <t>mA/sec</t>
  </si>
  <si>
    <r>
      <t>Internal delay time for current limit (t</t>
    </r>
    <r>
      <rPr>
        <vertAlign val="subscript"/>
        <sz val="11"/>
        <color indexed="12"/>
        <rFont val="돋움"/>
        <family val="3"/>
      </rPr>
      <t>CLD</t>
    </r>
    <r>
      <rPr>
        <sz val="11"/>
        <color indexed="12"/>
        <rFont val="돋움"/>
        <family val="3"/>
      </rPr>
      <t>)</t>
    </r>
  </si>
  <si>
    <r>
      <t>Minimum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</si>
  <si>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m</t>
    </r>
    <r>
      <rPr>
        <sz val="11"/>
        <color indexed="12"/>
        <rFont val="돋움"/>
        <family val="3"/>
      </rPr>
      <t>sec</t>
    </r>
  </si>
  <si>
    <r>
      <t>Minimum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</si>
  <si>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Typical 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</si>
  <si>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The tolerance of L</t>
    </r>
    <r>
      <rPr>
        <vertAlign val="subscript"/>
        <sz val="11"/>
        <color indexed="12"/>
        <rFont val="돋움"/>
        <family val="3"/>
      </rPr>
      <t>m</t>
    </r>
    <r>
      <rPr>
        <sz val="11"/>
        <color indexed="12"/>
        <rFont val="돋움"/>
        <family val="3"/>
      </rPr>
      <t>(+-)</t>
    </r>
  </si>
  <si>
    <t>V</t>
  </si>
  <si>
    <r>
      <t>Output voltage reflected to primary (V</t>
    </r>
    <r>
      <rPr>
        <b/>
        <vertAlign val="subscript"/>
        <sz val="11"/>
        <color indexed="60"/>
        <rFont val="돋움"/>
        <family val="3"/>
      </rPr>
      <t>RO</t>
    </r>
    <r>
      <rPr>
        <b/>
        <sz val="11"/>
        <color indexed="60"/>
        <rFont val="돋움"/>
        <family val="3"/>
      </rPr>
      <t>)=</t>
    </r>
  </si>
  <si>
    <t>V</t>
  </si>
  <si>
    <r>
      <t>Maximum DC link voltage switch from 
CCM to QRC when L</t>
    </r>
    <r>
      <rPr>
        <b/>
        <vertAlign val="subscript"/>
        <sz val="11"/>
        <color indexed="60"/>
        <rFont val="돋움"/>
        <family val="3"/>
      </rPr>
      <t>m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</si>
  <si>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t>5. Choose the proper FPS considering the input power and minimum current limit</t>
  </si>
  <si>
    <r>
      <t>Maximum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</si>
  <si>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Necessary minimum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>) =</t>
    </r>
  </si>
  <si>
    <r>
      <t>Maximum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max</t>
    </r>
    <r>
      <rPr>
        <sz val="11"/>
        <color indexed="60"/>
        <rFont val="돋움"/>
        <family val="3"/>
      </rPr>
      <t>) =</t>
    </r>
  </si>
  <si>
    <r>
      <t>I</t>
    </r>
    <r>
      <rPr>
        <vertAlign val="subscript"/>
        <sz val="11"/>
        <color indexed="60"/>
        <rFont val="돋움"/>
        <family val="3"/>
      </rPr>
      <t>EDC</t>
    </r>
    <r>
      <rPr>
        <sz val="11"/>
        <color indexed="60"/>
        <rFont val="돋움"/>
        <family val="3"/>
      </rPr>
      <t xml:space="preserve">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</si>
  <si>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D</t>
    </r>
    <r>
      <rPr>
        <sz val="11"/>
        <color indexed="60"/>
        <rFont val="돋움"/>
        <family val="3"/>
      </rPr>
      <t>I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 &amp; 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</si>
  <si>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m</t>
    </r>
    <r>
      <rPr>
        <sz val="11"/>
        <color indexed="12"/>
        <rFont val="돋움"/>
        <family val="3"/>
      </rPr>
      <t>F</t>
    </r>
  </si>
  <si>
    <r>
      <t>m</t>
    </r>
    <r>
      <rPr>
        <sz val="11"/>
        <color indexed="60"/>
        <rFont val="돋움"/>
        <family val="3"/>
      </rPr>
      <t>H</t>
    </r>
  </si>
  <si>
    <r>
      <t>m</t>
    </r>
    <r>
      <rPr>
        <b/>
        <sz val="11"/>
        <color indexed="60"/>
        <rFont val="돋움"/>
        <family val="3"/>
      </rPr>
      <t>H</t>
    </r>
  </si>
  <si>
    <r>
      <t>Actual minimum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 xml:space="preserve"> =</t>
    </r>
  </si>
  <si>
    <r>
      <t>Actual maximum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=</t>
    </r>
  </si>
  <si>
    <t>The turn ratio (n) =</t>
  </si>
  <si>
    <r>
      <t>Maximum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</si>
  <si>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t>kHz</t>
  </si>
  <si>
    <t>&lt;= Strongly recommend not to change!!!</t>
  </si>
  <si>
    <r>
      <t>Minimum primary turns to avoid core saturation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</si>
  <si>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(In Normal Operation. 
Will decrease at standby due to burst op.)</t>
  </si>
  <si>
    <r>
      <t xml:space="preserve">QRC (transformer) design v.1.0
</t>
    </r>
    <r>
      <rPr>
        <b/>
        <i/>
        <sz val="12"/>
        <rFont val="Times New Roman"/>
        <family val="1"/>
      </rPr>
      <t>(Q510,Q321,Q311,Q0165~Q0365)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</si>
</sst>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0_ "/>
    <numFmt numFmtId="189" formatCode="0.000_);[Red]\(0.000\)"/>
    <numFmt numFmtId="190" formatCode="#,##0.00_ "/>
  </numFmts>
  <fonts count="95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sz val="11"/>
      <color indexed="12"/>
      <name val="Arial"/>
      <family val="2"/>
    </font>
    <font>
      <sz val="11"/>
      <color indexed="12"/>
      <name val="Symbol"/>
      <family val="1"/>
    </font>
    <font>
      <sz val="11"/>
      <color indexed="60"/>
      <name val="돋움"/>
      <family val="3"/>
    </font>
    <font>
      <vertAlign val="subscript"/>
      <sz val="11"/>
      <color indexed="60"/>
      <name val="돋움"/>
      <family val="3"/>
    </font>
    <font>
      <vertAlign val="superscript"/>
      <sz val="11"/>
      <color indexed="60"/>
      <name val="돋움"/>
      <family val="3"/>
    </font>
    <font>
      <u val="single"/>
      <sz val="11"/>
      <color indexed="60"/>
      <name val="돋움"/>
      <family val="3"/>
    </font>
    <font>
      <i/>
      <sz val="11"/>
      <color indexed="60"/>
      <name val="Symbol"/>
      <family val="1"/>
    </font>
    <font>
      <sz val="11"/>
      <color indexed="60"/>
      <name val="Symbol"/>
      <family val="1"/>
    </font>
    <font>
      <b/>
      <sz val="11"/>
      <color indexed="60"/>
      <name val="Symbol"/>
      <family val="1"/>
    </font>
    <font>
      <b/>
      <i/>
      <sz val="11"/>
      <color indexed="10"/>
      <name val="돋움"/>
      <family val="3"/>
    </font>
    <font>
      <b/>
      <sz val="9"/>
      <color indexed="10"/>
      <name val="굴림"/>
      <family val="3"/>
    </font>
    <font>
      <b/>
      <sz val="10"/>
      <name val="돋움"/>
      <family val="3"/>
    </font>
    <font>
      <b/>
      <i/>
      <sz val="12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27" fillId="0" borderId="0">
      <alignment/>
      <protection/>
    </xf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1" borderId="1" applyNumberFormat="0" applyAlignment="0" applyProtection="0"/>
    <xf numFmtId="10" fontId="25" fillId="30" borderId="8" applyNumberFormat="0" applyBorder="0" applyAlignment="0" applyProtection="0"/>
    <xf numFmtId="0" fontId="88" fillId="0" borderId="9" applyNumberFormat="0" applyFill="0" applyAlignment="0" applyProtection="0"/>
    <xf numFmtId="0" fontId="30" fillId="0" borderId="10">
      <alignment/>
      <protection/>
    </xf>
    <xf numFmtId="0" fontId="89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177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32" fillId="36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2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33" fillId="36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8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34" fillId="36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85" fontId="5" fillId="36" borderId="0" xfId="0" applyNumberFormat="1" applyFont="1" applyFill="1" applyAlignment="1" applyProtection="1">
      <alignment horizontal="right"/>
      <protection hidden="1"/>
    </xf>
    <xf numFmtId="185" fontId="5" fillId="36" borderId="0" xfId="0" applyNumberFormat="1" applyFont="1" applyFill="1" applyAlignment="1" applyProtection="1">
      <alignment/>
      <protection hidden="1"/>
    </xf>
    <xf numFmtId="176" fontId="5" fillId="40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1" borderId="14" xfId="0" applyFont="1" applyFill="1" applyBorder="1" applyAlignment="1">
      <alignment horizontal="center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26" fillId="41" borderId="17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43" fillId="41" borderId="17" xfId="0" applyFont="1" applyFill="1" applyBorder="1" applyAlignment="1">
      <alignment horizontal="center"/>
    </xf>
    <xf numFmtId="0" fontId="26" fillId="41" borderId="19" xfId="0" applyFont="1" applyFill="1" applyBorder="1" applyAlignment="1">
      <alignment horizontal="center"/>
    </xf>
    <xf numFmtId="0" fontId="26" fillId="41" borderId="14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3" fillId="0" borderId="14" xfId="0" applyFont="1" applyFill="1" applyBorder="1" applyAlignment="1">
      <alignment/>
    </xf>
    <xf numFmtId="0" fontId="26" fillId="41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43" fillId="0" borderId="20" xfId="0" applyFont="1" applyFill="1" applyBorder="1" applyAlignment="1">
      <alignment/>
    </xf>
    <xf numFmtId="0" fontId="26" fillId="41" borderId="17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43" fillId="0" borderId="17" xfId="0" applyFont="1" applyFill="1" applyBorder="1" applyAlignment="1">
      <alignment/>
    </xf>
    <xf numFmtId="0" fontId="26" fillId="41" borderId="20" xfId="0" applyFont="1" applyFill="1" applyBorder="1" applyAlignment="1">
      <alignment horizontal="center"/>
    </xf>
    <xf numFmtId="0" fontId="26" fillId="41" borderId="21" xfId="0" applyFont="1" applyFill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43" fillId="41" borderId="16" xfId="0" applyFont="1" applyFill="1" applyBorder="1" applyAlignment="1">
      <alignment horizontal="center"/>
    </xf>
    <xf numFmtId="0" fontId="26" fillId="41" borderId="24" xfId="0" applyFont="1" applyFill="1" applyBorder="1" applyAlignment="1">
      <alignment horizontal="center"/>
    </xf>
    <xf numFmtId="0" fontId="43" fillId="41" borderId="19" xfId="0" applyFont="1" applyFill="1" applyBorder="1" applyAlignment="1">
      <alignment horizontal="center"/>
    </xf>
    <xf numFmtId="0" fontId="26" fillId="41" borderId="23" xfId="0" applyFont="1" applyFill="1" applyBorder="1" applyAlignment="1">
      <alignment horizontal="center"/>
    </xf>
    <xf numFmtId="0" fontId="26" fillId="41" borderId="2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6" fillId="41" borderId="24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187" fontId="5" fillId="36" borderId="0" xfId="0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7" fontId="5" fillId="30" borderId="0" xfId="0" applyNumberFormat="1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5" fillId="40" borderId="0" xfId="0" applyFont="1" applyFill="1" applyAlignment="1" applyProtection="1">
      <alignment/>
      <protection hidden="1"/>
    </xf>
    <xf numFmtId="177" fontId="48" fillId="40" borderId="0" xfId="0" applyNumberFormat="1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187" fontId="48" fillId="40" borderId="0" xfId="0" applyNumberFormat="1" applyFont="1" applyFill="1" applyAlignment="1" applyProtection="1">
      <alignment/>
      <protection hidden="1"/>
    </xf>
    <xf numFmtId="0" fontId="49" fillId="40" borderId="0" xfId="0" applyFont="1" applyFill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8" fontId="52" fillId="35" borderId="26" xfId="0" applyNumberFormat="1" applyFont="1" applyFill="1" applyBorder="1" applyAlignment="1" applyProtection="1">
      <alignment/>
      <protection locked="0"/>
    </xf>
    <xf numFmtId="178" fontId="5" fillId="36" borderId="0" xfId="0" applyNumberFormat="1" applyFont="1" applyFill="1" applyAlignment="1" applyProtection="1">
      <alignment horizontal="right"/>
      <protection hidden="1"/>
    </xf>
    <xf numFmtId="0" fontId="8" fillId="40" borderId="0" xfId="0" applyFont="1" applyFill="1" applyAlignment="1" applyProtection="1">
      <alignment/>
      <protection hidden="1"/>
    </xf>
    <xf numFmtId="0" fontId="8" fillId="4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hidden="1"/>
    </xf>
    <xf numFmtId="187" fontId="5" fillId="36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38" fontId="5" fillId="36" borderId="0" xfId="0" applyNumberFormat="1" applyFont="1" applyFill="1" applyAlignment="1" applyProtection="1">
      <alignment/>
      <protection hidden="1"/>
    </xf>
    <xf numFmtId="189" fontId="3" fillId="0" borderId="0" xfId="0" applyNumberFormat="1" applyFont="1" applyAlignment="1" applyProtection="1">
      <alignment horizontal="left"/>
      <protection hidden="1"/>
    </xf>
    <xf numFmtId="189" fontId="0" fillId="0" borderId="0" xfId="0" applyNumberFormat="1" applyAlignment="1">
      <alignment horizontal="left"/>
    </xf>
    <xf numFmtId="178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38" fontId="5" fillId="36" borderId="0" xfId="0" applyNumberFormat="1" applyFont="1" applyFill="1" applyAlignment="1" applyProtection="1">
      <alignment horizontal="right"/>
      <protection hidden="1"/>
    </xf>
    <xf numFmtId="0" fontId="12" fillId="39" borderId="0" xfId="0" applyFont="1" applyFill="1" applyAlignment="1" applyProtection="1">
      <alignment horizontal="center" vertical="center"/>
      <protection hidden="1"/>
    </xf>
    <xf numFmtId="0" fontId="19" fillId="40" borderId="0" xfId="0" applyFont="1" applyFill="1" applyAlignment="1" applyProtection="1">
      <alignment horizontal="center" vertical="center" wrapText="1"/>
      <protection hidden="1"/>
    </xf>
    <xf numFmtId="179" fontId="5" fillId="36" borderId="0" xfId="0" applyNumberFormat="1" applyFont="1" applyFill="1" applyAlignment="1" applyProtection="1">
      <alignment/>
      <protection hidden="1"/>
    </xf>
    <xf numFmtId="0" fontId="12" fillId="39" borderId="0" xfId="0" applyFont="1" applyFill="1" applyAlignment="1" applyProtection="1">
      <alignment vertical="center"/>
      <protection hidden="1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26" fillId="41" borderId="27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43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Flyback!$B$144:$B$163</c:f>
              <c:numCache/>
            </c:numRef>
          </c:xVal>
          <c:yVal>
            <c:numRef>
              <c:f>Flyback!$C$144:$C$163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Flyback!$D$144:$D$163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Flyback!$E$144:$E$163</c:f>
              <c:numCache/>
            </c:numRef>
          </c:yVal>
          <c:smooth val="1"/>
        </c:ser>
        <c:axId val="38777545"/>
        <c:axId val="9022078"/>
      </c:scatterChart>
      <c:valAx>
        <c:axId val="3877754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9022078"/>
        <c:crosses val="autoZero"/>
        <c:crossBetween val="midCat"/>
        <c:dispUnits/>
        <c:minorUnit val="10"/>
      </c:valAx>
      <c:valAx>
        <c:axId val="9022078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8777545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109"/>
          <c:w val="0.2557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"/>
          <c:w val="0.956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Flyback!$G$144:$G$163</c:f>
              <c:numCache/>
            </c:numRef>
          </c:xVal>
          <c:yVal>
            <c:numRef>
              <c:f>Flyback!$H$144:$H$163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Flyback!$I$144:$I$163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Flyback!$J$144:$J$163</c:f>
              <c:numCache/>
            </c:numRef>
          </c:yVal>
          <c:smooth val="1"/>
        </c:ser>
        <c:axId val="55245911"/>
        <c:axId val="19313444"/>
      </c:scatterChart>
      <c:valAx>
        <c:axId val="5524591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9313444"/>
        <c:crosses val="autoZero"/>
        <c:crossBetween val="midCat"/>
        <c:dispUnits/>
        <c:majorUnit val="10"/>
        <c:minorUnit val="10"/>
      </c:valAx>
      <c:valAx>
        <c:axId val="19313444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5245911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141</xdr:row>
      <xdr:rowOff>66675</xdr:rowOff>
    </xdr:from>
    <xdr:to>
      <xdr:col>9</xdr:col>
      <xdr:colOff>76200</xdr:colOff>
      <xdr:row>156</xdr:row>
      <xdr:rowOff>114300</xdr:rowOff>
    </xdr:to>
    <xdr:graphicFrame>
      <xdr:nvGraphicFramePr>
        <xdr:cNvPr id="1" name="Chart 70"/>
        <xdr:cNvGraphicFramePr/>
      </xdr:nvGraphicFramePr>
      <xdr:xfrm>
        <a:off x="161925" y="27051000"/>
        <a:ext cx="712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157</xdr:row>
      <xdr:rowOff>38100</xdr:rowOff>
    </xdr:from>
    <xdr:to>
      <xdr:col>9</xdr:col>
      <xdr:colOff>57150</xdr:colOff>
      <xdr:row>171</xdr:row>
      <xdr:rowOff>28575</xdr:rowOff>
    </xdr:to>
    <xdr:graphicFrame>
      <xdr:nvGraphicFramePr>
        <xdr:cNvPr id="2" name="Chart 71"/>
        <xdr:cNvGraphicFramePr/>
      </xdr:nvGraphicFramePr>
      <xdr:xfrm>
        <a:off x="161925" y="29765625"/>
        <a:ext cx="7105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="75" zoomScaleNormal="75" zoomScalePageLayoutView="0" workbookViewId="0" topLeftCell="A1">
      <selection activeCell="P64" sqref="P64"/>
    </sheetView>
  </sheetViews>
  <sheetFormatPr defaultColWidth="8.88671875" defaultRowHeight="13.5"/>
  <cols>
    <col min="1" max="1" width="1.77734375" style="4" customWidth="1"/>
    <col min="2" max="2" width="47.10546875" style="4" customWidth="1"/>
    <col min="3" max="3" width="8.5546875" style="4" customWidth="1"/>
    <col min="4" max="4" width="2.6640625" style="4" customWidth="1"/>
    <col min="5" max="5" width="5.4453125" style="4" customWidth="1"/>
    <col min="6" max="6" width="3.21484375" style="4" customWidth="1"/>
    <col min="7" max="7" width="6.3359375" style="4" customWidth="1"/>
    <col min="8" max="8" width="2.4453125" style="4" customWidth="1"/>
    <col min="9" max="9" width="6.5546875" style="4" customWidth="1"/>
    <col min="10" max="10" width="2.4453125" style="4" customWidth="1"/>
    <col min="11" max="11" width="6.77734375" style="4" customWidth="1"/>
    <col min="12" max="12" width="1.88671875" style="4" customWidth="1"/>
    <col min="13" max="16384" width="8.88671875" style="4" customWidth="1"/>
  </cols>
  <sheetData>
    <row r="1" spans="1:12" ht="20.25" customHeight="1">
      <c r="A1" s="24"/>
      <c r="B1" s="24"/>
      <c r="C1" s="160" t="s">
        <v>315</v>
      </c>
      <c r="D1" s="161"/>
      <c r="E1" s="161"/>
      <c r="F1" s="161"/>
      <c r="G1" s="161"/>
      <c r="H1" s="161"/>
      <c r="I1" s="24"/>
      <c r="J1" s="24"/>
      <c r="K1" s="24"/>
      <c r="L1" s="24"/>
    </row>
    <row r="2" spans="1:12" ht="13.5">
      <c r="A2" s="24"/>
      <c r="B2" s="24"/>
      <c r="C2" s="161"/>
      <c r="D2" s="161"/>
      <c r="E2" s="161"/>
      <c r="F2" s="161"/>
      <c r="G2" s="161"/>
      <c r="H2" s="161"/>
      <c r="I2" s="24"/>
      <c r="J2" s="24"/>
      <c r="K2" s="24"/>
      <c r="L2" s="24"/>
    </row>
    <row r="3" spans="1:12" ht="13.5">
      <c r="A3" s="24"/>
      <c r="B3" s="24"/>
      <c r="C3" s="26" t="s">
        <v>1</v>
      </c>
      <c r="D3" s="25" t="s">
        <v>0</v>
      </c>
      <c r="E3" s="25"/>
      <c r="F3" s="25"/>
      <c r="G3" s="25"/>
      <c r="H3" s="24"/>
      <c r="I3" s="24"/>
      <c r="J3" s="24"/>
      <c r="K3" s="24"/>
      <c r="L3" s="24"/>
    </row>
    <row r="4" spans="1:12" ht="13.5">
      <c r="A4" s="24"/>
      <c r="B4" s="24"/>
      <c r="C4" s="27" t="s">
        <v>48</v>
      </c>
      <c r="D4" s="28" t="s">
        <v>7</v>
      </c>
      <c r="E4" s="28"/>
      <c r="F4" s="28"/>
      <c r="G4" s="28"/>
      <c r="H4" s="24"/>
      <c r="I4" s="24"/>
      <c r="J4" s="24"/>
      <c r="K4" s="24"/>
      <c r="L4" s="24"/>
    </row>
    <row r="5" spans="1:12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3.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24"/>
      <c r="K6" s="24"/>
      <c r="L6" s="24"/>
    </row>
    <row r="7" spans="1:12" ht="16.5">
      <c r="A7" s="24"/>
      <c r="B7" s="31" t="s">
        <v>57</v>
      </c>
      <c r="C7" s="2">
        <v>85</v>
      </c>
      <c r="D7" s="31" t="s">
        <v>36</v>
      </c>
      <c r="E7" s="24"/>
      <c r="F7" s="24"/>
      <c r="G7" s="24"/>
      <c r="H7" s="24"/>
      <c r="I7" s="24"/>
      <c r="J7" s="24"/>
      <c r="K7" s="24"/>
      <c r="L7" s="24"/>
    </row>
    <row r="8" spans="1:12" ht="16.5">
      <c r="A8" s="24"/>
      <c r="B8" s="31" t="s">
        <v>56</v>
      </c>
      <c r="C8" s="2">
        <v>265</v>
      </c>
      <c r="D8" s="31" t="s">
        <v>36</v>
      </c>
      <c r="E8" s="31"/>
      <c r="F8" s="31"/>
      <c r="G8" s="24"/>
      <c r="H8" s="24"/>
      <c r="I8" s="24"/>
      <c r="J8" s="24"/>
      <c r="K8" s="24"/>
      <c r="L8" s="24"/>
    </row>
    <row r="9" spans="1:12" ht="16.5">
      <c r="A9" s="24"/>
      <c r="B9" s="31" t="s">
        <v>58</v>
      </c>
      <c r="C9" s="2">
        <v>60</v>
      </c>
      <c r="D9" s="31" t="s">
        <v>3</v>
      </c>
      <c r="E9" s="24"/>
      <c r="F9" s="24"/>
      <c r="G9" s="24"/>
      <c r="H9" s="24"/>
      <c r="I9" s="24"/>
      <c r="J9" s="24"/>
      <c r="K9" s="24"/>
      <c r="L9" s="24"/>
    </row>
    <row r="10" spans="1:12" ht="13.5">
      <c r="A10" s="24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4" ht="16.5">
      <c r="A11" s="24"/>
      <c r="B11" s="33"/>
      <c r="C11" s="34" t="s">
        <v>74</v>
      </c>
      <c r="D11" s="33"/>
      <c r="E11" s="34" t="s">
        <v>75</v>
      </c>
      <c r="F11" s="33"/>
      <c r="G11" s="34" t="s">
        <v>76</v>
      </c>
      <c r="H11" s="34"/>
      <c r="I11" s="34" t="s">
        <v>77</v>
      </c>
      <c r="J11" s="24"/>
      <c r="K11" s="24"/>
      <c r="L11" s="24"/>
      <c r="N11" s="6"/>
    </row>
    <row r="12" spans="1:14" ht="13.5">
      <c r="A12" s="24"/>
      <c r="B12" s="31" t="s">
        <v>59</v>
      </c>
      <c r="C12" s="2">
        <v>5</v>
      </c>
      <c r="D12" s="31" t="s">
        <v>2</v>
      </c>
      <c r="E12" s="19">
        <v>0.9</v>
      </c>
      <c r="F12" s="31" t="s">
        <v>9</v>
      </c>
      <c r="G12" s="3">
        <f aca="true" t="shared" si="0" ref="G12:G17">C12*E12</f>
        <v>4.5</v>
      </c>
      <c r="H12" s="35" t="s">
        <v>12</v>
      </c>
      <c r="I12" s="3">
        <f aca="true" t="shared" si="1" ref="I12:I17">G12/C$18*100</f>
        <v>54.94505494505495</v>
      </c>
      <c r="J12" s="35" t="s">
        <v>14</v>
      </c>
      <c r="K12" s="24"/>
      <c r="L12" s="24"/>
      <c r="N12" s="6"/>
    </row>
    <row r="13" spans="1:14" ht="13.5">
      <c r="A13" s="24"/>
      <c r="B13" s="31" t="s">
        <v>43</v>
      </c>
      <c r="C13" s="2">
        <v>3.3</v>
      </c>
      <c r="D13" s="31" t="s">
        <v>2</v>
      </c>
      <c r="E13" s="19">
        <v>0.9</v>
      </c>
      <c r="F13" s="31" t="s">
        <v>8</v>
      </c>
      <c r="G13" s="3">
        <f t="shared" si="0"/>
        <v>2.9699999999999998</v>
      </c>
      <c r="H13" s="35" t="s">
        <v>13</v>
      </c>
      <c r="I13" s="3">
        <f t="shared" si="1"/>
        <v>36.26373626373626</v>
      </c>
      <c r="J13" s="35" t="s">
        <v>15</v>
      </c>
      <c r="K13" s="24"/>
      <c r="L13" s="24"/>
      <c r="N13" s="6"/>
    </row>
    <row r="14" spans="1:14" ht="13.5">
      <c r="A14" s="24"/>
      <c r="B14" s="31" t="s">
        <v>44</v>
      </c>
      <c r="C14" s="2">
        <v>12</v>
      </c>
      <c r="D14" s="31" t="s">
        <v>2</v>
      </c>
      <c r="E14" s="19">
        <v>0.03</v>
      </c>
      <c r="F14" s="31" t="s">
        <v>10</v>
      </c>
      <c r="G14" s="3">
        <f t="shared" si="0"/>
        <v>0.36</v>
      </c>
      <c r="H14" s="35" t="s">
        <v>4</v>
      </c>
      <c r="I14" s="3">
        <f t="shared" si="1"/>
        <v>4.395604395604396</v>
      </c>
      <c r="J14" s="35" t="s">
        <v>16</v>
      </c>
      <c r="K14" s="24"/>
      <c r="L14" s="24"/>
      <c r="N14" s="6"/>
    </row>
    <row r="15" spans="1:14" ht="13.5">
      <c r="A15" s="24"/>
      <c r="B15" s="31" t="s">
        <v>45</v>
      </c>
      <c r="C15" s="2">
        <v>12</v>
      </c>
      <c r="D15" s="31" t="s">
        <v>2</v>
      </c>
      <c r="E15" s="19">
        <v>0.03</v>
      </c>
      <c r="F15" s="31" t="s">
        <v>10</v>
      </c>
      <c r="G15" s="3">
        <f t="shared" si="0"/>
        <v>0.36</v>
      </c>
      <c r="H15" s="35" t="s">
        <v>12</v>
      </c>
      <c r="I15" s="3">
        <f t="shared" si="1"/>
        <v>4.395604395604396</v>
      </c>
      <c r="J15" s="35" t="s">
        <v>16</v>
      </c>
      <c r="K15" s="24"/>
      <c r="L15" s="24"/>
      <c r="N15" s="6"/>
    </row>
    <row r="16" spans="1:14" ht="13.5">
      <c r="A16" s="24"/>
      <c r="B16" s="31" t="s">
        <v>46</v>
      </c>
      <c r="C16" s="2">
        <v>0</v>
      </c>
      <c r="D16" s="31" t="s">
        <v>2</v>
      </c>
      <c r="E16" s="19">
        <v>0</v>
      </c>
      <c r="F16" s="31" t="s">
        <v>10</v>
      </c>
      <c r="G16" s="3">
        <f t="shared" si="0"/>
        <v>0</v>
      </c>
      <c r="H16" s="35" t="s">
        <v>12</v>
      </c>
      <c r="I16" s="3">
        <f t="shared" si="1"/>
        <v>0</v>
      </c>
      <c r="J16" s="35" t="s">
        <v>16</v>
      </c>
      <c r="K16" s="24"/>
      <c r="L16" s="24"/>
      <c r="N16" s="6"/>
    </row>
    <row r="17" spans="1:14" ht="13.5">
      <c r="A17" s="24"/>
      <c r="B17" s="31" t="s">
        <v>47</v>
      </c>
      <c r="C17" s="2"/>
      <c r="D17" s="31" t="s">
        <v>2</v>
      </c>
      <c r="E17" s="19"/>
      <c r="F17" s="31" t="s">
        <v>10</v>
      </c>
      <c r="G17" s="3">
        <f t="shared" si="0"/>
        <v>0</v>
      </c>
      <c r="H17" s="35" t="s">
        <v>12</v>
      </c>
      <c r="I17" s="3">
        <f t="shared" si="1"/>
        <v>0</v>
      </c>
      <c r="J17" s="35" t="s">
        <v>16</v>
      </c>
      <c r="K17" s="24"/>
      <c r="L17" s="24"/>
      <c r="N17" s="6"/>
    </row>
    <row r="18" spans="1:14" ht="16.5">
      <c r="A18" s="24"/>
      <c r="B18" s="35" t="s">
        <v>60</v>
      </c>
      <c r="C18" s="36">
        <f>SUM(G12:G17)</f>
        <v>8.19</v>
      </c>
      <c r="D18" s="35" t="s">
        <v>11</v>
      </c>
      <c r="E18" s="24"/>
      <c r="F18" s="24"/>
      <c r="G18" s="24"/>
      <c r="H18" s="24"/>
      <c r="I18" s="24"/>
      <c r="J18" s="24"/>
      <c r="K18" s="24"/>
      <c r="L18" s="24"/>
      <c r="N18" s="6"/>
    </row>
    <row r="19" spans="1:14" ht="16.5">
      <c r="A19" s="24"/>
      <c r="B19" s="31" t="s">
        <v>62</v>
      </c>
      <c r="C19" s="2">
        <v>73</v>
      </c>
      <c r="D19" s="31" t="s">
        <v>5</v>
      </c>
      <c r="E19" s="24"/>
      <c r="F19" s="24"/>
      <c r="G19" s="24"/>
      <c r="H19" s="24"/>
      <c r="I19" s="24"/>
      <c r="J19" s="24"/>
      <c r="K19" s="24"/>
      <c r="L19" s="24"/>
      <c r="N19" s="6"/>
    </row>
    <row r="20" spans="1:14" ht="16.5">
      <c r="A20" s="24"/>
      <c r="B20" s="35" t="s">
        <v>61</v>
      </c>
      <c r="C20" s="36">
        <f>Po/Eff</f>
        <v>11.21917808219178</v>
      </c>
      <c r="D20" s="35" t="s">
        <v>11</v>
      </c>
      <c r="E20" s="24"/>
      <c r="F20" s="24"/>
      <c r="G20" s="24"/>
      <c r="H20" s="24"/>
      <c r="I20" s="24"/>
      <c r="J20" s="24"/>
      <c r="K20" s="24"/>
      <c r="L20" s="24"/>
      <c r="N20" s="6"/>
    </row>
    <row r="21" spans="1:14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6"/>
    </row>
    <row r="22" spans="1:14" ht="13.5">
      <c r="A22" s="29" t="s">
        <v>50</v>
      </c>
      <c r="B22" s="29"/>
      <c r="C22" s="29"/>
      <c r="D22" s="29"/>
      <c r="E22" s="29"/>
      <c r="F22" s="29"/>
      <c r="G22" s="29"/>
      <c r="H22" s="29"/>
      <c r="I22" s="29"/>
      <c r="K22" s="24"/>
      <c r="L22" s="24"/>
      <c r="N22" s="6"/>
    </row>
    <row r="23" spans="1:14" ht="16.5">
      <c r="A23" s="24"/>
      <c r="B23" s="31" t="s">
        <v>63</v>
      </c>
      <c r="C23" s="2">
        <v>20</v>
      </c>
      <c r="D23" s="138" t="s">
        <v>304</v>
      </c>
      <c r="E23" s="24"/>
      <c r="F23" s="24"/>
      <c r="G23" s="24"/>
      <c r="H23" s="24"/>
      <c r="I23" s="24"/>
      <c r="J23" s="24"/>
      <c r="K23" s="24"/>
      <c r="L23" s="24"/>
      <c r="N23" s="6"/>
    </row>
    <row r="24" spans="1:14" ht="16.5">
      <c r="A24" s="24"/>
      <c r="B24" s="35" t="s">
        <v>65</v>
      </c>
      <c r="C24" s="3">
        <f>SQRT(2*V_line_min^2-Pin*(1-0.2)/Cdc/fL)</f>
        <v>83.48980743303628</v>
      </c>
      <c r="D24" s="35" t="s">
        <v>2</v>
      </c>
      <c r="E24" s="24"/>
      <c r="F24" s="24"/>
      <c r="G24" s="24"/>
      <c r="H24" s="24"/>
      <c r="I24" s="24"/>
      <c r="J24" s="24"/>
      <c r="K24" s="24"/>
      <c r="L24" s="24"/>
      <c r="N24" s="6"/>
    </row>
    <row r="25" spans="1:14" ht="16.5">
      <c r="A25" s="24"/>
      <c r="B25" s="35" t="s">
        <v>64</v>
      </c>
      <c r="C25" s="3">
        <f>SQRT(2)*V_line_max</f>
        <v>374.7665940288702</v>
      </c>
      <c r="D25" s="35" t="s">
        <v>2</v>
      </c>
      <c r="E25" s="24"/>
      <c r="F25" s="24"/>
      <c r="G25" s="24"/>
      <c r="H25" s="24"/>
      <c r="I25" s="24"/>
      <c r="J25" s="24"/>
      <c r="K25" s="24"/>
      <c r="L25" s="24"/>
      <c r="N25" s="6"/>
    </row>
    <row r="26" ht="13.5"/>
    <row r="27" spans="1:14" ht="13.5">
      <c r="A27" s="29" t="s">
        <v>17</v>
      </c>
      <c r="B27" s="29"/>
      <c r="C27" s="29"/>
      <c r="D27" s="29"/>
      <c r="E27" s="29"/>
      <c r="F27" s="29"/>
      <c r="G27" s="29"/>
      <c r="H27" s="29"/>
      <c r="I27" s="29"/>
      <c r="J27" s="24"/>
      <c r="K27" s="24"/>
      <c r="L27" s="24"/>
      <c r="N27" s="6"/>
    </row>
    <row r="28" spans="1:14" ht="16.5">
      <c r="A28" s="24"/>
      <c r="B28" s="31" t="s">
        <v>66</v>
      </c>
      <c r="C28" s="2">
        <v>0.48</v>
      </c>
      <c r="D28" s="31"/>
      <c r="E28" s="24"/>
      <c r="F28" s="37"/>
      <c r="G28" s="24"/>
      <c r="H28" s="24"/>
      <c r="I28" s="24"/>
      <c r="J28" s="24"/>
      <c r="K28" s="24"/>
      <c r="L28" s="24"/>
      <c r="N28" s="6"/>
    </row>
    <row r="29" spans="1:14" ht="16.5">
      <c r="A29" s="24"/>
      <c r="B29" s="35" t="s">
        <v>67</v>
      </c>
      <c r="C29" s="3">
        <f>SQRT(2)*V_line_max+VRO</f>
        <v>451.8341085824421</v>
      </c>
      <c r="D29" s="35" t="s">
        <v>294</v>
      </c>
      <c r="E29" s="24"/>
      <c r="F29" s="24"/>
      <c r="G29" s="24"/>
      <c r="H29" s="24"/>
      <c r="I29" s="24"/>
      <c r="J29" s="24"/>
      <c r="K29" s="24"/>
      <c r="L29" s="24"/>
      <c r="N29" s="6"/>
    </row>
    <row r="30" spans="1:14" ht="16.5">
      <c r="A30" s="24"/>
      <c r="B30" s="35" t="s">
        <v>295</v>
      </c>
      <c r="C30" s="3">
        <f>Dmax/(1-Dmax)*Vdc_min</f>
        <v>77.06751455357194</v>
      </c>
      <c r="D30" s="35" t="s">
        <v>296</v>
      </c>
      <c r="E30" s="24"/>
      <c r="F30" s="24"/>
      <c r="G30" s="24"/>
      <c r="H30" s="24"/>
      <c r="I30" s="24"/>
      <c r="J30" s="24"/>
      <c r="K30" s="24"/>
      <c r="L30" s="24"/>
      <c r="N30" s="6"/>
    </row>
    <row r="31" spans="1:14" ht="13.5">
      <c r="A31" s="24"/>
      <c r="B31" s="35" t="s">
        <v>309</v>
      </c>
      <c r="C31" s="3">
        <f>(VRO/Vo1+VF1)</f>
        <v>15.913502910714389</v>
      </c>
      <c r="D31" s="35"/>
      <c r="E31" s="24"/>
      <c r="F31" s="24"/>
      <c r="G31" s="24"/>
      <c r="H31" s="24"/>
      <c r="I31" s="24"/>
      <c r="J31" s="24"/>
      <c r="K31" s="24"/>
      <c r="L31" s="24"/>
      <c r="N31" s="6"/>
    </row>
    <row r="32" spans="1:14" ht="13.5">
      <c r="A32" s="24"/>
      <c r="B32" s="35"/>
      <c r="C32" s="139"/>
      <c r="D32" s="35"/>
      <c r="E32" s="24"/>
      <c r="F32" s="24"/>
      <c r="G32" s="24"/>
      <c r="H32" s="24"/>
      <c r="I32" s="24"/>
      <c r="J32" s="24"/>
      <c r="K32" s="24"/>
      <c r="L32" s="24"/>
      <c r="N32" s="6"/>
    </row>
    <row r="33" spans="1:14" ht="13.5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4"/>
      <c r="K33" s="24"/>
      <c r="L33" s="24"/>
      <c r="N33" s="6"/>
    </row>
    <row r="34" spans="1:14" ht="16.5">
      <c r="A34" s="24"/>
      <c r="B34" s="31" t="s">
        <v>291</v>
      </c>
      <c r="C34" s="2">
        <v>50.4</v>
      </c>
      <c r="D34" s="31" t="s">
        <v>18</v>
      </c>
      <c r="E34"/>
      <c r="F34" s="23">
        <f>C34*1000</f>
        <v>50400</v>
      </c>
      <c r="G34" s="31"/>
      <c r="H34" s="24"/>
      <c r="I34" s="24"/>
      <c r="J34" s="24"/>
      <c r="K34" s="24"/>
      <c r="L34" s="24"/>
      <c r="N34" s="6"/>
    </row>
    <row r="35" spans="1:14" ht="16.5">
      <c r="A35" s="24"/>
      <c r="B35" s="31" t="s">
        <v>310</v>
      </c>
      <c r="C35" s="2">
        <v>75.8</v>
      </c>
      <c r="D35" s="31" t="s">
        <v>311</v>
      </c>
      <c r="E35"/>
      <c r="F35" s="23"/>
      <c r="G35" s="31"/>
      <c r="H35" s="24"/>
      <c r="I35" s="24"/>
      <c r="J35" s="24"/>
      <c r="K35" s="24"/>
      <c r="L35" s="24"/>
      <c r="N35" s="6"/>
    </row>
    <row r="36" spans="1:14" ht="16.5">
      <c r="A36" s="24"/>
      <c r="B36" s="31" t="s">
        <v>78</v>
      </c>
      <c r="C36" s="2">
        <v>0.8</v>
      </c>
      <c r="D36" s="31"/>
      <c r="E36" s="24"/>
      <c r="F36" s="24"/>
      <c r="G36" s="24"/>
      <c r="H36" s="24"/>
      <c r="I36" s="24"/>
      <c r="J36" s="24"/>
      <c r="K36" s="24"/>
      <c r="L36" s="24"/>
      <c r="N36" s="6"/>
    </row>
    <row r="37" spans="1:14" ht="16.5">
      <c r="A37" s="24"/>
      <c r="B37" s="146" t="s">
        <v>300</v>
      </c>
      <c r="C37" s="147">
        <f>(Vdc_min*Dmax)^2/(2*Pin*fsw_min*KRF)*1000000</f>
        <v>1775.161346589918</v>
      </c>
      <c r="D37" s="151" t="s">
        <v>305</v>
      </c>
      <c r="E37" s="24"/>
      <c r="F37" s="24"/>
      <c r="G37" s="24"/>
      <c r="H37" s="24"/>
      <c r="I37" s="24"/>
      <c r="J37" s="24"/>
      <c r="K37" s="24"/>
      <c r="L37" s="24"/>
      <c r="N37" s="6"/>
    </row>
    <row r="38" spans="1:14" ht="16.5">
      <c r="A38" s="24"/>
      <c r="B38" s="31" t="s">
        <v>293</v>
      </c>
      <c r="C38" s="2">
        <v>10</v>
      </c>
      <c r="D38" s="31" t="s">
        <v>5</v>
      </c>
      <c r="E38" s="24"/>
      <c r="F38" s="24"/>
      <c r="G38" s="24"/>
      <c r="H38" s="24"/>
      <c r="I38" s="24"/>
      <c r="J38" s="24"/>
      <c r="K38" s="24"/>
      <c r="L38" s="24"/>
      <c r="N38" s="6"/>
    </row>
    <row r="39" spans="1:14" ht="16.5">
      <c r="A39" s="24"/>
      <c r="B39" s="35" t="s">
        <v>292</v>
      </c>
      <c r="C39" s="3">
        <f>Lm_min*(1+Lm_tol*0.01)</f>
        <v>1952.6774812489098</v>
      </c>
      <c r="D39" s="152" t="s">
        <v>306</v>
      </c>
      <c r="E39" s="24"/>
      <c r="F39" s="24"/>
      <c r="G39" s="24"/>
      <c r="H39" s="24"/>
      <c r="I39" s="24"/>
      <c r="J39" s="24"/>
      <c r="K39" s="24"/>
      <c r="L39" s="24"/>
      <c r="N39" s="6"/>
    </row>
    <row r="40" spans="1:14" ht="16.5">
      <c r="A40" s="24"/>
      <c r="B40" s="146" t="s">
        <v>301</v>
      </c>
      <c r="C40" s="147">
        <f>Lm_min*(1+2*Lm_tol*0.01)</f>
        <v>2130.1936159079014</v>
      </c>
      <c r="D40" s="151" t="s">
        <v>305</v>
      </c>
      <c r="E40" s="24"/>
      <c r="F40" s="24"/>
      <c r="G40" s="24"/>
      <c r="H40" s="24"/>
      <c r="I40" s="24"/>
      <c r="J40" s="24"/>
      <c r="K40" s="24"/>
      <c r="L40" s="24"/>
      <c r="N40" s="6"/>
    </row>
    <row r="41" spans="1:14" ht="16.5">
      <c r="A41" s="24"/>
      <c r="B41" s="146" t="s">
        <v>302</v>
      </c>
      <c r="C41" s="149">
        <f>Pin/(Vdc_min*Dmax)</f>
        <v>0.27995378585559233</v>
      </c>
      <c r="D41" s="148" t="s">
        <v>9</v>
      </c>
      <c r="E41" s="24"/>
      <c r="F41" s="24"/>
      <c r="G41" s="24"/>
      <c r="H41" s="24"/>
      <c r="I41" s="24"/>
      <c r="J41" s="24"/>
      <c r="K41" s="24"/>
      <c r="L41" s="24"/>
      <c r="N41" s="6"/>
    </row>
    <row r="42" spans="1:14" ht="16.5">
      <c r="A42" s="24"/>
      <c r="B42" s="150" t="s">
        <v>303</v>
      </c>
      <c r="C42" s="149">
        <f>(Vdc_min*Dmax)/(Lm_min*0.000001*fsw_min)</f>
        <v>0.4479260573689477</v>
      </c>
      <c r="D42" s="148" t="s">
        <v>9</v>
      </c>
      <c r="E42" s="24"/>
      <c r="F42" s="24"/>
      <c r="G42" s="24"/>
      <c r="H42" s="24"/>
      <c r="I42" s="24"/>
      <c r="J42" s="24"/>
      <c r="K42" s="24"/>
      <c r="L42" s="24"/>
      <c r="N42" s="6"/>
    </row>
    <row r="43" spans="1:14" ht="16.5">
      <c r="A43" s="24"/>
      <c r="B43" s="35" t="s">
        <v>68</v>
      </c>
      <c r="C43" s="137">
        <f>IEDC+(dI/2)</f>
        <v>0.5039168145400662</v>
      </c>
      <c r="D43" s="35" t="s">
        <v>9</v>
      </c>
      <c r="E43" s="24"/>
      <c r="F43" s="24"/>
      <c r="G43" s="24"/>
      <c r="H43" s="24"/>
      <c r="I43" s="24"/>
      <c r="J43" s="24"/>
      <c r="K43" s="24"/>
      <c r="L43" s="24"/>
      <c r="N43" s="6"/>
    </row>
    <row r="44" spans="1:14" ht="16.5">
      <c r="A44" s="24"/>
      <c r="B44" s="35" t="s">
        <v>69</v>
      </c>
      <c r="C44" s="137">
        <f>SQRT((3*(IEDC)^2+(dI/2)^2)*Dmax/3)</f>
        <v>0.2136471127301875</v>
      </c>
      <c r="D44" s="35" t="s">
        <v>9</v>
      </c>
      <c r="E44" s="39"/>
      <c r="F44" s="24"/>
      <c r="G44" s="24"/>
      <c r="H44" s="24"/>
      <c r="I44" s="24"/>
      <c r="J44" s="24"/>
      <c r="K44" s="24"/>
      <c r="L44" s="24"/>
      <c r="N44" s="6"/>
    </row>
    <row r="45" spans="1:14" s="144" customFormat="1" ht="33">
      <c r="A45" s="141"/>
      <c r="B45" s="142" t="s">
        <v>297</v>
      </c>
      <c r="C45" s="140">
        <f>IF(1/(1/SQRT(2*Lm_max*0.000001*fsw_min*Pin)-1/VRO)&gt;0,IF(1/(1/SQRT(2*Lm_max*0.000001*fsw_min*Pin)-1/VRO)&gt;Vdc_max,Vdc_max,1/(1/SQRT(2*Lm_max*0.000001*fsw_min*Pin)-1/VRO)),Vdc_max)</f>
        <v>135.1621237670397</v>
      </c>
      <c r="D45" s="143" t="s">
        <v>54</v>
      </c>
      <c r="E45" s="141"/>
      <c r="F45" s="141"/>
      <c r="G45" s="141"/>
      <c r="H45" s="141"/>
      <c r="I45" s="141"/>
      <c r="J45" s="141"/>
      <c r="K45" s="141"/>
      <c r="L45" s="141"/>
      <c r="N45" s="145"/>
    </row>
    <row r="46" ht="13.5"/>
    <row r="47" spans="1:14" ht="13.5">
      <c r="A47" s="29" t="s">
        <v>298</v>
      </c>
      <c r="B47" s="29"/>
      <c r="C47" s="29"/>
      <c r="D47" s="29"/>
      <c r="E47" s="29"/>
      <c r="F47" s="29"/>
      <c r="G47" s="29"/>
      <c r="H47" s="29"/>
      <c r="I47" s="29"/>
      <c r="K47" s="24"/>
      <c r="L47" s="24"/>
      <c r="N47" s="6"/>
    </row>
    <row r="48" spans="1:14" ht="13.5">
      <c r="A48" s="24"/>
      <c r="B48" s="31" t="s">
        <v>286</v>
      </c>
      <c r="C48" s="2">
        <v>100</v>
      </c>
      <c r="D48" s="31" t="s">
        <v>287</v>
      </c>
      <c r="E48" s="24"/>
      <c r="F48" s="24"/>
      <c r="G48" s="24"/>
      <c r="H48" s="24"/>
      <c r="I48" s="24"/>
      <c r="J48" s="24"/>
      <c r="K48" s="24"/>
      <c r="L48" s="24"/>
      <c r="N48" s="6"/>
    </row>
    <row r="49" spans="1:14" ht="16.5">
      <c r="A49" s="24"/>
      <c r="B49" s="156" t="s">
        <v>288</v>
      </c>
      <c r="C49" s="157">
        <v>0.5</v>
      </c>
      <c r="D49" s="138" t="s">
        <v>290</v>
      </c>
      <c r="E49" s="24"/>
      <c r="F49" s="24"/>
      <c r="G49" s="24"/>
      <c r="H49" s="24"/>
      <c r="I49" s="24"/>
      <c r="J49" s="24"/>
      <c r="K49" s="24"/>
      <c r="L49" s="24"/>
      <c r="N49" s="6"/>
    </row>
    <row r="50" spans="1:14" ht="16.5">
      <c r="A50" s="24"/>
      <c r="B50" s="31" t="s">
        <v>289</v>
      </c>
      <c r="C50" s="2">
        <v>0.53</v>
      </c>
      <c r="D50" s="31" t="s">
        <v>9</v>
      </c>
      <c r="E50" s="24"/>
      <c r="F50" s="24"/>
      <c r="G50" s="24"/>
      <c r="H50" s="24"/>
      <c r="I50" s="24"/>
      <c r="J50" s="24"/>
      <c r="K50" s="24"/>
      <c r="L50" s="24"/>
      <c r="N50" s="6"/>
    </row>
    <row r="51" spans="1:14" ht="16.5">
      <c r="A51" s="24"/>
      <c r="B51" s="35" t="s">
        <v>307</v>
      </c>
      <c r="C51" s="137">
        <f>Ilim_min-((Vdc_min/(240/didt))*tCLD*0.001)</f>
        <v>0.5126062901181174</v>
      </c>
      <c r="D51" s="35" t="s">
        <v>9</v>
      </c>
      <c r="E51" s="91" t="s">
        <v>122</v>
      </c>
      <c r="F51" s="164">
        <f>Ipk</f>
        <v>0.5039168145400662</v>
      </c>
      <c r="G51" s="165"/>
      <c r="H51" s="40" t="s">
        <v>9</v>
      </c>
      <c r="I51" s="24"/>
      <c r="J51" s="24"/>
      <c r="K51" s="24"/>
      <c r="L51" s="24"/>
      <c r="N51" s="6"/>
    </row>
    <row r="52" ht="13.5">
      <c r="C52" s="41" t="str">
        <f>IF(C51&lt;F51,"-&gt;Higher current limit is required !!!","-&gt;O.K.")</f>
        <v>-&gt;O.K.</v>
      </c>
    </row>
    <row r="53" spans="1:14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6"/>
    </row>
    <row r="54" spans="1:14" ht="14.25" thickBot="1">
      <c r="A54" s="29" t="s">
        <v>51</v>
      </c>
      <c r="B54" s="29"/>
      <c r="C54" s="29"/>
      <c r="D54" s="29"/>
      <c r="E54" s="29"/>
      <c r="F54" s="29"/>
      <c r="G54" s="29"/>
      <c r="H54" s="29"/>
      <c r="I54" s="29"/>
      <c r="J54" s="24"/>
      <c r="K54" s="24"/>
      <c r="L54" s="24"/>
      <c r="N54" s="6"/>
    </row>
    <row r="55" spans="1:14" ht="18" thickBot="1" thickTop="1">
      <c r="A55" s="24"/>
      <c r="B55" s="31" t="s">
        <v>70</v>
      </c>
      <c r="C55" s="154">
        <v>0.32</v>
      </c>
      <c r="D55" s="31" t="s">
        <v>20</v>
      </c>
      <c r="E55" s="158" t="s">
        <v>312</v>
      </c>
      <c r="F55" s="24"/>
      <c r="G55" s="24"/>
      <c r="H55" s="24"/>
      <c r="I55" s="24"/>
      <c r="J55" s="24"/>
      <c r="K55" s="24"/>
      <c r="L55" s="24"/>
      <c r="N55" s="6"/>
    </row>
    <row r="56" spans="1:14" ht="17.25" thickTop="1">
      <c r="A56" s="24"/>
      <c r="B56" s="31" t="s">
        <v>71</v>
      </c>
      <c r="C56" s="2">
        <v>23.4</v>
      </c>
      <c r="D56" s="31" t="s">
        <v>19</v>
      </c>
      <c r="E56" s="39"/>
      <c r="F56" s="24"/>
      <c r="G56" s="24"/>
      <c r="H56" s="24"/>
      <c r="I56" s="24"/>
      <c r="J56" s="24"/>
      <c r="K56" s="24"/>
      <c r="L56" s="24"/>
      <c r="N56" s="6"/>
    </row>
    <row r="57" spans="1:14" ht="16.5">
      <c r="A57" s="24"/>
      <c r="B57" s="31" t="s">
        <v>299</v>
      </c>
      <c r="C57" s="19">
        <v>0.67</v>
      </c>
      <c r="D57" s="31" t="s">
        <v>9</v>
      </c>
      <c r="E57" s="91"/>
      <c r="F57" s="166"/>
      <c r="G57" s="167"/>
      <c r="H57" s="40"/>
      <c r="I57" s="24"/>
      <c r="J57" s="24"/>
      <c r="K57" s="24"/>
      <c r="L57" s="24"/>
      <c r="N57" s="6"/>
    </row>
    <row r="58" spans="1:14" ht="16.5">
      <c r="A58" s="24"/>
      <c r="B58" s="153" t="s">
        <v>308</v>
      </c>
      <c r="C58" s="137">
        <f>Ilim_max+((Vdc_max)/(240/didt))*tCLD*0.001</f>
        <v>0.7480763737560147</v>
      </c>
      <c r="D58" s="35" t="s">
        <v>9</v>
      </c>
      <c r="E58" s="91"/>
      <c r="F58" s="166"/>
      <c r="G58" s="167"/>
      <c r="H58" s="40"/>
      <c r="I58" s="24"/>
      <c r="J58" s="24"/>
      <c r="K58" s="24"/>
      <c r="L58" s="24"/>
      <c r="N58" s="6"/>
    </row>
    <row r="59" spans="1:14" ht="17.25">
      <c r="A59" s="24"/>
      <c r="B59" s="153" t="s">
        <v>313</v>
      </c>
      <c r="C59" s="36">
        <f>Lm_max*0.000001*Ilim_max_act/Bsat/Ae*1000000</f>
        <v>212.81350368410733</v>
      </c>
      <c r="D59" s="35" t="s">
        <v>20</v>
      </c>
      <c r="E59" s="39"/>
      <c r="F59" s="24"/>
      <c r="G59" s="24"/>
      <c r="H59" s="24"/>
      <c r="I59" s="24"/>
      <c r="J59" s="24"/>
      <c r="K59" s="24"/>
      <c r="L59" s="24"/>
      <c r="N59" s="6"/>
    </row>
    <row r="60" spans="1:14" ht="13.5">
      <c r="A60" s="24"/>
      <c r="B60" s="24"/>
      <c r="C60" s="24"/>
      <c r="D60" s="24"/>
      <c r="E60" s="24"/>
      <c r="F60" s="40"/>
      <c r="G60" s="40"/>
      <c r="H60" s="40"/>
      <c r="I60" s="40"/>
      <c r="J60" s="24"/>
      <c r="K60" s="31"/>
      <c r="L60" s="24"/>
      <c r="N60" s="6"/>
    </row>
    <row r="61" spans="1:14" ht="13.5">
      <c r="A61" s="29" t="s">
        <v>121</v>
      </c>
      <c r="B61" s="29"/>
      <c r="C61" s="29"/>
      <c r="D61" s="29"/>
      <c r="E61" s="29"/>
      <c r="F61" s="29"/>
      <c r="G61" s="29"/>
      <c r="H61" s="29"/>
      <c r="I61" s="29"/>
      <c r="J61" s="24"/>
      <c r="K61" s="24"/>
      <c r="L61" s="24"/>
      <c r="N61" s="6"/>
    </row>
    <row r="62" spans="1:14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L62" s="6"/>
      <c r="N62" s="6"/>
    </row>
    <row r="63" spans="1:14" ht="16.5">
      <c r="A63" s="24"/>
      <c r="B63" s="33"/>
      <c r="C63" s="34" t="s">
        <v>74</v>
      </c>
      <c r="D63" s="33"/>
      <c r="E63" s="34" t="s">
        <v>72</v>
      </c>
      <c r="F63" s="33"/>
      <c r="G63" s="33"/>
      <c r="H63" s="34" t="s">
        <v>25</v>
      </c>
      <c r="I63" s="34"/>
      <c r="J63" s="34"/>
      <c r="L63" s="6"/>
      <c r="N63" s="6"/>
    </row>
    <row r="64" spans="1:14" ht="13.5">
      <c r="A64" s="24"/>
      <c r="B64" s="35" t="s">
        <v>100</v>
      </c>
      <c r="C64" s="2">
        <v>15</v>
      </c>
      <c r="D64" s="31" t="s">
        <v>21</v>
      </c>
      <c r="E64" s="2">
        <v>1.2</v>
      </c>
      <c r="F64" s="31" t="s">
        <v>21</v>
      </c>
      <c r="G64" s="88">
        <f>Ns1*(Vcc+VFC)/(Vo1+VF1)</f>
        <v>35.345454545454544</v>
      </c>
      <c r="H64" s="43" t="s">
        <v>23</v>
      </c>
      <c r="I64" s="44">
        <f>ROUND(G64,0)</f>
        <v>35</v>
      </c>
      <c r="J64" s="35" t="s">
        <v>24</v>
      </c>
      <c r="L64" s="6"/>
      <c r="N64" s="6"/>
    </row>
    <row r="65" spans="1:14" ht="13.5">
      <c r="A65" s="24"/>
      <c r="B65" s="35" t="s">
        <v>59</v>
      </c>
      <c r="C65" s="45">
        <f>Vo1</f>
        <v>5</v>
      </c>
      <c r="D65" s="92" t="s">
        <v>2</v>
      </c>
      <c r="E65" s="2">
        <v>0.5</v>
      </c>
      <c r="F65" s="31" t="s">
        <v>21</v>
      </c>
      <c r="G65" s="20">
        <v>12</v>
      </c>
      <c r="H65" s="43" t="s">
        <v>23</v>
      </c>
      <c r="I65" s="44">
        <f aca="true" t="shared" si="2" ref="I65:I70">ROUND(G65,0)</f>
        <v>12</v>
      </c>
      <c r="J65" s="35" t="s">
        <v>24</v>
      </c>
      <c r="L65" s="6"/>
      <c r="N65" s="6"/>
    </row>
    <row r="66" spans="1:14" ht="13.5">
      <c r="A66" s="24"/>
      <c r="B66" s="35" t="s">
        <v>101</v>
      </c>
      <c r="C66" s="45">
        <f>Vo2</f>
        <v>3.3</v>
      </c>
      <c r="D66" s="92" t="s">
        <v>2</v>
      </c>
      <c r="E66" s="2">
        <v>0.5</v>
      </c>
      <c r="F66" s="31" t="s">
        <v>21</v>
      </c>
      <c r="G66" s="88">
        <f>Ns1*(Vo2+VF2)/(Vo1+VF1)</f>
        <v>8.29090909090909</v>
      </c>
      <c r="H66" s="43" t="s">
        <v>23</v>
      </c>
      <c r="I66" s="44">
        <f t="shared" si="2"/>
        <v>8</v>
      </c>
      <c r="J66" s="35" t="s">
        <v>24</v>
      </c>
      <c r="L66" s="6"/>
      <c r="N66" s="6"/>
    </row>
    <row r="67" spans="1:14" ht="13.5">
      <c r="A67" s="24"/>
      <c r="B67" s="35" t="s">
        <v>44</v>
      </c>
      <c r="C67" s="45">
        <f>Vo3</f>
        <v>12</v>
      </c>
      <c r="D67" s="92" t="s">
        <v>2</v>
      </c>
      <c r="E67" s="2">
        <v>1.2</v>
      </c>
      <c r="F67" s="31" t="s">
        <v>21</v>
      </c>
      <c r="G67" s="88">
        <f>Ns1*(Vo3+VF3)/(Vo1+VF1)</f>
        <v>28.799999999999997</v>
      </c>
      <c r="H67" s="43" t="s">
        <v>23</v>
      </c>
      <c r="I67" s="44">
        <f t="shared" si="2"/>
        <v>29</v>
      </c>
      <c r="J67" s="35" t="s">
        <v>24</v>
      </c>
      <c r="L67" s="6"/>
      <c r="N67" s="6"/>
    </row>
    <row r="68" spans="1:14" ht="13.5">
      <c r="A68" s="24"/>
      <c r="B68" s="35" t="s">
        <v>45</v>
      </c>
      <c r="C68" s="45">
        <f>Vo4</f>
        <v>12</v>
      </c>
      <c r="D68" s="92" t="s">
        <v>2</v>
      </c>
      <c r="E68" s="2">
        <v>1.2</v>
      </c>
      <c r="F68" s="31" t="s">
        <v>21</v>
      </c>
      <c r="G68" s="88">
        <f>Ns1*(Vo4+VF4)/(Vo1+VF1)</f>
        <v>28.799999999999997</v>
      </c>
      <c r="H68" s="43" t="s">
        <v>23</v>
      </c>
      <c r="I68" s="44">
        <f t="shared" si="2"/>
        <v>29</v>
      </c>
      <c r="J68" s="35" t="s">
        <v>24</v>
      </c>
      <c r="L68" s="6"/>
      <c r="N68" s="6"/>
    </row>
    <row r="69" spans="1:14" ht="13.5">
      <c r="A69" s="24"/>
      <c r="B69" s="35" t="s">
        <v>46</v>
      </c>
      <c r="C69" s="45">
        <f>Vo5</f>
        <v>0</v>
      </c>
      <c r="D69" s="92" t="s">
        <v>2</v>
      </c>
      <c r="E69" s="2">
        <v>0</v>
      </c>
      <c r="F69" s="31" t="s">
        <v>21</v>
      </c>
      <c r="G69" s="88">
        <f>Ns1*(Vo5+VF5)/(Vo1+VF1)</f>
        <v>0</v>
      </c>
      <c r="H69" s="43" t="s">
        <v>23</v>
      </c>
      <c r="I69" s="44">
        <f t="shared" si="2"/>
        <v>0</v>
      </c>
      <c r="J69" s="35" t="s">
        <v>24</v>
      </c>
      <c r="L69" s="6"/>
      <c r="N69" s="6"/>
    </row>
    <row r="70" spans="1:14" ht="13.5">
      <c r="A70" s="24"/>
      <c r="B70" s="35" t="s">
        <v>47</v>
      </c>
      <c r="C70" s="46">
        <f>Vo6</f>
        <v>0</v>
      </c>
      <c r="D70" s="92" t="s">
        <v>2</v>
      </c>
      <c r="E70" s="2">
        <v>0</v>
      </c>
      <c r="F70" s="31" t="s">
        <v>21</v>
      </c>
      <c r="G70" s="88">
        <f>Ns1*(Vo6+VF6)/(Vo1+VF1)</f>
        <v>0</v>
      </c>
      <c r="H70" s="43" t="s">
        <v>23</v>
      </c>
      <c r="I70" s="44">
        <f t="shared" si="2"/>
        <v>0</v>
      </c>
      <c r="J70" s="35" t="s">
        <v>24</v>
      </c>
      <c r="L70" s="6"/>
      <c r="N70" s="6"/>
    </row>
    <row r="71" spans="1:14" ht="16.5">
      <c r="A71" s="24"/>
      <c r="B71" s="47" t="s">
        <v>22</v>
      </c>
      <c r="C71" s="24"/>
      <c r="D71" s="24"/>
      <c r="E71" s="48" t="s">
        <v>73</v>
      </c>
      <c r="F71" s="48"/>
      <c r="G71" s="48"/>
      <c r="H71" s="48"/>
      <c r="I71" s="3">
        <f>VRO/(C65+E65)*Ns1</f>
        <v>168.1473044805206</v>
      </c>
      <c r="J71" s="35" t="s">
        <v>24</v>
      </c>
      <c r="L71" s="6"/>
      <c r="N71" s="6"/>
    </row>
    <row r="72" spans="1:14" ht="13.5">
      <c r="A72" s="24"/>
      <c r="B72" s="24"/>
      <c r="C72" s="24"/>
      <c r="D72" s="42"/>
      <c r="E72" s="41" t="str">
        <f>IF(I71&lt;C59,"---&gt;More turns required !!!","---&gt;enough turns")</f>
        <v>---&gt;More turns required !!!</v>
      </c>
      <c r="F72" s="41"/>
      <c r="G72" s="41"/>
      <c r="H72" s="41"/>
      <c r="I72" s="41"/>
      <c r="J72" s="24"/>
      <c r="L72" s="6"/>
      <c r="N72" s="6"/>
    </row>
    <row r="73" spans="1:14" ht="15.75">
      <c r="A73" s="24"/>
      <c r="B73" s="31" t="s">
        <v>125</v>
      </c>
      <c r="C73" s="2">
        <v>2120</v>
      </c>
      <c r="D73" s="24" t="s">
        <v>37</v>
      </c>
      <c r="E73" s="24"/>
      <c r="F73" s="24"/>
      <c r="G73" s="24"/>
      <c r="H73" s="24"/>
      <c r="I73" s="24"/>
      <c r="J73" s="41"/>
      <c r="K73" s="24"/>
      <c r="L73" s="24"/>
      <c r="N73" s="6"/>
    </row>
    <row r="74" spans="1:14" ht="13.5">
      <c r="A74" s="24"/>
      <c r="B74" s="35" t="s">
        <v>102</v>
      </c>
      <c r="C74" s="44">
        <f>0.4*3.14*Ae*(Np^2/10^9/(Lm_max*0.000001)-1/AL)</f>
        <v>0.37622787930851076</v>
      </c>
      <c r="D74" s="35" t="s">
        <v>26</v>
      </c>
      <c r="E74" s="24"/>
      <c r="F74" s="24"/>
      <c r="G74" s="24"/>
      <c r="H74" s="24"/>
      <c r="I74" s="24"/>
      <c r="J74" s="24"/>
      <c r="K74" s="24"/>
      <c r="L74" s="24"/>
      <c r="N74" s="6"/>
    </row>
    <row r="75" spans="1:12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3.5">
      <c r="A76" s="29" t="s">
        <v>52</v>
      </c>
      <c r="B76" s="29"/>
      <c r="C76" s="29"/>
      <c r="D76" s="29"/>
      <c r="E76" s="29"/>
      <c r="F76" s="29"/>
      <c r="G76" s="29"/>
      <c r="H76" s="29"/>
      <c r="I76" s="29"/>
      <c r="J76" s="24"/>
      <c r="K76" s="24"/>
      <c r="L76" s="24"/>
    </row>
    <row r="77" spans="1:12" ht="13.5">
      <c r="A77" s="24"/>
      <c r="B77" s="49"/>
      <c r="C77" s="50"/>
      <c r="D77" s="51"/>
      <c r="E77" s="51"/>
      <c r="F77" s="24"/>
      <c r="G77" s="24"/>
      <c r="H77" s="24"/>
      <c r="I77" s="24"/>
      <c r="J77" s="24"/>
      <c r="K77" s="24"/>
      <c r="L77" s="24"/>
    </row>
    <row r="78" spans="1:12" ht="17.25">
      <c r="A78" s="24"/>
      <c r="B78" s="33"/>
      <c r="C78" s="34" t="s">
        <v>27</v>
      </c>
      <c r="D78" s="34"/>
      <c r="E78" s="52" t="s">
        <v>30</v>
      </c>
      <c r="F78" s="52"/>
      <c r="G78" s="34" t="s">
        <v>79</v>
      </c>
      <c r="H78" s="34"/>
      <c r="I78" s="53" t="s">
        <v>31</v>
      </c>
      <c r="J78" s="54"/>
      <c r="K78" s="24"/>
      <c r="L78" s="24"/>
    </row>
    <row r="79" spans="1:12" ht="13.5">
      <c r="A79" s="24"/>
      <c r="B79" s="35" t="s">
        <v>103</v>
      </c>
      <c r="C79" s="21">
        <v>0.2</v>
      </c>
      <c r="D79" s="31" t="s">
        <v>26</v>
      </c>
      <c r="E79" s="21">
        <v>1</v>
      </c>
      <c r="F79" s="24" t="s">
        <v>20</v>
      </c>
      <c r="G79" s="55">
        <f>Irms</f>
        <v>0.2136471127301875</v>
      </c>
      <c r="H79" s="35" t="s">
        <v>9</v>
      </c>
      <c r="I79" s="55">
        <f>G79/E79/(3.14/4*C79^2)</f>
        <v>6.80404817612062</v>
      </c>
      <c r="J79" s="25"/>
      <c r="K79" s="24"/>
      <c r="L79" s="24"/>
    </row>
    <row r="80" spans="1:12" ht="13.5">
      <c r="A80" s="24"/>
      <c r="B80" s="35" t="s">
        <v>104</v>
      </c>
      <c r="C80" s="21">
        <v>0.1</v>
      </c>
      <c r="D80" s="31" t="s">
        <v>26</v>
      </c>
      <c r="E80" s="21">
        <v>1</v>
      </c>
      <c r="F80" s="24" t="s">
        <v>28</v>
      </c>
      <c r="G80" s="55">
        <v>0.01</v>
      </c>
      <c r="H80" s="35" t="s">
        <v>9</v>
      </c>
      <c r="I80" s="55">
        <f aca="true" t="shared" si="3" ref="I80:I85">G80/E80/(3.14/4*C80^2)</f>
        <v>1.2738853503184713</v>
      </c>
      <c r="J80" s="25"/>
      <c r="K80" s="24"/>
      <c r="L80" s="24"/>
    </row>
    <row r="81" spans="1:12" ht="13.5">
      <c r="A81" s="24"/>
      <c r="B81" s="35" t="str">
        <f>CONCATENATE("1st output winding (",(Vo1),"V)")</f>
        <v>1st output winding (5V)</v>
      </c>
      <c r="C81" s="21">
        <v>0.2</v>
      </c>
      <c r="D81" s="31" t="s">
        <v>26</v>
      </c>
      <c r="E81" s="21">
        <v>3</v>
      </c>
      <c r="F81" s="24" t="s">
        <v>28</v>
      </c>
      <c r="G81" s="55">
        <f>Irms*SQRT((1-Dmax)/Dmax)*VRO*KL1/(Vo1+VF1)</f>
        <v>1.7120457141802645</v>
      </c>
      <c r="H81" s="35" t="s">
        <v>9</v>
      </c>
      <c r="I81" s="55">
        <f t="shared" si="3"/>
        <v>18.174582953081362</v>
      </c>
      <c r="J81" s="25"/>
      <c r="K81" s="24"/>
      <c r="L81" s="24"/>
    </row>
    <row r="82" spans="1:12" ht="13.5">
      <c r="A82" s="24"/>
      <c r="B82" s="35" t="str">
        <f>CONCATENATE("2nd output winding (",(Vo2),"V)")</f>
        <v>2nd output winding (3.3V)</v>
      </c>
      <c r="C82" s="21">
        <v>0.2</v>
      </c>
      <c r="D82" s="31" t="s">
        <v>26</v>
      </c>
      <c r="E82" s="21">
        <v>3</v>
      </c>
      <c r="F82" s="24" t="s">
        <v>28</v>
      </c>
      <c r="G82" s="55">
        <f>Irms*SQRT((1-Dmax)/Dmax)*VRO*KL2/(Vo2+VF2)</f>
        <v>1.6354541953879895</v>
      </c>
      <c r="H82" s="35" t="s">
        <v>9</v>
      </c>
      <c r="I82" s="55">
        <f t="shared" si="3"/>
        <v>17.36150950518035</v>
      </c>
      <c r="J82" s="25"/>
      <c r="K82" s="24"/>
      <c r="L82" s="24"/>
    </row>
    <row r="83" spans="1:12" ht="13.5">
      <c r="A83" s="24"/>
      <c r="B83" s="35" t="str">
        <f>CONCATENATE("3rd output winding (",(Vo3),"V)")</f>
        <v>3rd output winding (12V)</v>
      </c>
      <c r="C83" s="21">
        <v>0.1</v>
      </c>
      <c r="D83" s="31" t="s">
        <v>26</v>
      </c>
      <c r="E83" s="21">
        <v>1</v>
      </c>
      <c r="F83" s="24" t="s">
        <v>28</v>
      </c>
      <c r="G83" s="55">
        <f>Irms*SQRT((1-Dmax)/Dmax)*VRO*KL3/(Vo3+VF3)</f>
        <v>0.05706819047267549</v>
      </c>
      <c r="H83" s="35" t="s">
        <v>9</v>
      </c>
      <c r="I83" s="155">
        <f t="shared" si="3"/>
        <v>7.269833181232545</v>
      </c>
      <c r="J83" s="54"/>
      <c r="K83" s="24"/>
      <c r="L83" s="24"/>
    </row>
    <row r="84" spans="1:13" ht="13.5">
      <c r="A84" s="24"/>
      <c r="B84" s="35" t="str">
        <f>CONCATENATE("4th output winding (",(Vo4),"V)")</f>
        <v>4th output winding (12V)</v>
      </c>
      <c r="C84" s="21">
        <v>0.1</v>
      </c>
      <c r="D84" s="31" t="s">
        <v>26</v>
      </c>
      <c r="E84" s="21">
        <v>1</v>
      </c>
      <c r="F84" s="24" t="s">
        <v>29</v>
      </c>
      <c r="G84" s="55">
        <f>Irms*SQRT((1-Dmax)/Dmax)*VRO*KL4/(Vo4+VF4)</f>
        <v>0.05706819047267549</v>
      </c>
      <c r="H84" s="35" t="s">
        <v>9</v>
      </c>
      <c r="I84" s="155">
        <f t="shared" si="3"/>
        <v>7.269833181232545</v>
      </c>
      <c r="J84" s="54"/>
      <c r="K84" s="24"/>
      <c r="L84" s="24"/>
      <c r="M84" s="6"/>
    </row>
    <row r="85" spans="1:13" ht="13.5">
      <c r="A85" s="24"/>
      <c r="B85" s="35" t="str">
        <f>CONCATENATE("5th output winding (",(Vo5),"V)")</f>
        <v>5th output winding (0V)</v>
      </c>
      <c r="C85" s="21">
        <v>0</v>
      </c>
      <c r="D85" s="31" t="s">
        <v>26</v>
      </c>
      <c r="E85" s="21">
        <v>0</v>
      </c>
      <c r="F85" s="24" t="s">
        <v>28</v>
      </c>
      <c r="G85" s="55" t="e">
        <f>Irms*SQRT((1-Dmax)/Dmax)*VRO*KL5/(Vo5+VF5)</f>
        <v>#DIV/0!</v>
      </c>
      <c r="H85" s="35" t="s">
        <v>9</v>
      </c>
      <c r="I85" s="155" t="e">
        <f t="shared" si="3"/>
        <v>#DIV/0!</v>
      </c>
      <c r="J85" s="54"/>
      <c r="K85" s="24"/>
      <c r="L85" s="24"/>
      <c r="M85" s="6"/>
    </row>
    <row r="86" spans="1:13" ht="13.5">
      <c r="A86" s="24"/>
      <c r="B86" s="35" t="str">
        <f>CONCATENATE("6th output winding (",(Vo6),"V)")</f>
        <v>6th output winding (V)</v>
      </c>
      <c r="C86" s="21"/>
      <c r="D86" s="31" t="s">
        <v>26</v>
      </c>
      <c r="E86" s="21"/>
      <c r="F86" s="24" t="s">
        <v>28</v>
      </c>
      <c r="G86" s="55" t="e">
        <f>Irms*SQRT((1-Dmax)/Dmax)*VRO*KL6/(Vo6+VF6)</f>
        <v>#DIV/0!</v>
      </c>
      <c r="H86" s="35" t="s">
        <v>9</v>
      </c>
      <c r="I86" s="155" t="e">
        <f>G86/E86/(3.14/4*C86^2)</f>
        <v>#DIV/0!</v>
      </c>
      <c r="J86" s="54"/>
      <c r="K86" s="24"/>
      <c r="L86" s="24"/>
      <c r="M86" s="6"/>
    </row>
    <row r="87" spans="1:13" ht="17.25">
      <c r="A87" s="56"/>
      <c r="B87" s="60" t="s">
        <v>105</v>
      </c>
      <c r="C87" s="38">
        <f>C79^2/4*3.14*E79*Np+C80^2/4*3.14*E80*Nc+C81^2/4*3.14*E81*Ns1+C82^2/4*3.14*E82*Ns2+C83^2/4*3.14*E83*Ns3+C84^2/4*3.14*E84*Ns4+C85^2/4*3.14*E85*Ns5+C86^2/4*3.14*E86*Ns6</f>
        <v>7.893875360688346</v>
      </c>
      <c r="D87" s="35" t="s">
        <v>32</v>
      </c>
      <c r="E87" s="58"/>
      <c r="F87" s="56"/>
      <c r="G87" s="59"/>
      <c r="H87" s="60"/>
      <c r="I87" s="56"/>
      <c r="J87" s="60"/>
      <c r="K87" s="24"/>
      <c r="L87" s="24"/>
      <c r="M87" s="6"/>
    </row>
    <row r="88" spans="1:13" ht="16.5">
      <c r="A88" s="56"/>
      <c r="B88" s="31" t="s">
        <v>80</v>
      </c>
      <c r="C88" s="2">
        <v>0.15</v>
      </c>
      <c r="D88" s="31"/>
      <c r="E88" s="61"/>
      <c r="F88" s="62"/>
      <c r="G88" s="62"/>
      <c r="H88" s="62"/>
      <c r="I88" s="62"/>
      <c r="J88" s="56"/>
      <c r="K88" s="24"/>
      <c r="L88" s="24"/>
      <c r="M88" s="6"/>
    </row>
    <row r="89" spans="1:13" ht="17.25">
      <c r="A89" s="63"/>
      <c r="B89" s="57" t="s">
        <v>81</v>
      </c>
      <c r="C89" s="38">
        <f>C87/C88</f>
        <v>52.62583573792231</v>
      </c>
      <c r="D89" s="35" t="s">
        <v>32</v>
      </c>
      <c r="E89" s="63"/>
      <c r="F89" s="63"/>
      <c r="G89" s="63"/>
      <c r="H89" s="63"/>
      <c r="I89" s="63"/>
      <c r="J89" s="56"/>
      <c r="K89" s="24"/>
      <c r="L89" s="24"/>
      <c r="M89" s="6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9" t="s">
        <v>53</v>
      </c>
      <c r="B91" s="29"/>
      <c r="C91" s="29"/>
      <c r="D91" s="29"/>
      <c r="E91" s="29"/>
      <c r="F91" s="29"/>
      <c r="G91" s="29"/>
      <c r="H91" s="29"/>
      <c r="I91" s="29"/>
      <c r="J91" s="24"/>
      <c r="K91" s="24"/>
      <c r="L91" s="24"/>
    </row>
    <row r="92" spans="1:12" ht="13.5">
      <c r="A92" s="24"/>
      <c r="B92" s="49"/>
      <c r="C92" s="50"/>
      <c r="D92" s="51"/>
      <c r="E92" s="51"/>
      <c r="F92" s="24"/>
      <c r="G92" s="24"/>
      <c r="H92" s="24"/>
      <c r="I92" s="24"/>
      <c r="J92" s="24"/>
      <c r="K92" s="24"/>
      <c r="L92" s="40"/>
    </row>
    <row r="93" spans="1:13" ht="17.25">
      <c r="A93" s="24"/>
      <c r="B93" s="33"/>
      <c r="C93" s="34" t="s">
        <v>82</v>
      </c>
      <c r="D93" s="34"/>
      <c r="E93" s="34"/>
      <c r="F93" s="64"/>
      <c r="G93" s="65" t="s">
        <v>83</v>
      </c>
      <c r="H93" s="66"/>
      <c r="I93" s="66"/>
      <c r="J93" s="24"/>
      <c r="K93" s="24"/>
      <c r="L93" s="40"/>
      <c r="M93" s="6"/>
    </row>
    <row r="94" spans="1:12" ht="13.5">
      <c r="A94" s="24"/>
      <c r="B94" s="35" t="s">
        <v>106</v>
      </c>
      <c r="C94" s="67">
        <f>Vcc+SQRT(2)*V_line_max*(Vcc+VFC)/VRO</f>
        <v>93.77792424520725</v>
      </c>
      <c r="D94" s="67"/>
      <c r="E94" s="35" t="s">
        <v>2</v>
      </c>
      <c r="F94" s="24"/>
      <c r="G94" s="55">
        <v>0.1</v>
      </c>
      <c r="H94" s="35" t="s">
        <v>9</v>
      </c>
      <c r="I94" s="68"/>
      <c r="J94" s="40"/>
      <c r="K94" s="40"/>
      <c r="L94" s="40"/>
    </row>
    <row r="95" spans="1:12" ht="13.5">
      <c r="A95" s="24"/>
      <c r="B95" s="35" t="str">
        <f>CONCATENATE("Rectifier diode for 1st output (",(Vo1),"V)")</f>
        <v>Rectifier diode for 1st output (5V)</v>
      </c>
      <c r="C95" s="67">
        <f>Vo1+SQRT(2)*V_line_max*(Vo1+VF1)/VRO</f>
        <v>31.745591564730855</v>
      </c>
      <c r="D95" s="67"/>
      <c r="E95" s="35" t="s">
        <v>2</v>
      </c>
      <c r="F95" s="24"/>
      <c r="G95" s="55">
        <f>Io1rms</f>
        <v>1.7120457141802645</v>
      </c>
      <c r="H95" s="35" t="s">
        <v>9</v>
      </c>
      <c r="I95" s="68"/>
      <c r="J95" s="40"/>
      <c r="K95" s="40"/>
      <c r="L95" s="24"/>
    </row>
    <row r="96" spans="1:12" ht="13.5">
      <c r="A96" s="24"/>
      <c r="B96" s="35" t="str">
        <f>CONCATENATE("Rectifier diode for 2nd output (",(Vo2),"V)")</f>
        <v>Rectifier diode for 2nd output (3.3V)</v>
      </c>
      <c r="C96" s="67">
        <f>Vo2+SQRT(2)*V_line_max*(Vo2+VF2)/VRO</f>
        <v>21.778772353814045</v>
      </c>
      <c r="D96" s="67"/>
      <c r="E96" s="35" t="s">
        <v>2</v>
      </c>
      <c r="F96" s="24"/>
      <c r="G96" s="55">
        <f>Io2rms</f>
        <v>1.6354541953879895</v>
      </c>
      <c r="H96" s="35" t="s">
        <v>9</v>
      </c>
      <c r="I96" s="68"/>
      <c r="J96" s="40"/>
      <c r="K96" s="40"/>
      <c r="L96" s="24"/>
    </row>
    <row r="97" spans="1:12" ht="13.5">
      <c r="A97" s="24"/>
      <c r="B97" s="35" t="str">
        <f>CONCATENATE("Rectifier diode for 3rd output (",(Vo3),"V)")</f>
        <v>Rectifier diode for 3rd output (12V)</v>
      </c>
      <c r="C97" s="67">
        <f>Vo3+SQRT(2)*V_line_max*(Vo3+VF3)/VRO</f>
        <v>76.18941975535404</v>
      </c>
      <c r="D97" s="67"/>
      <c r="E97" s="35" t="s">
        <v>2</v>
      </c>
      <c r="F97" s="24"/>
      <c r="G97" s="55">
        <f>Io3rms</f>
        <v>0.05706819047267549</v>
      </c>
      <c r="H97" s="35" t="s">
        <v>9</v>
      </c>
      <c r="I97" s="24"/>
      <c r="J97" s="24"/>
      <c r="K97" s="24"/>
      <c r="L97" s="24"/>
    </row>
    <row r="98" spans="1:12" ht="13.5">
      <c r="A98" s="24"/>
      <c r="B98" s="35" t="str">
        <f>CONCATENATE("Rectifier diode for 4th output (",(Vo4),"V)")</f>
        <v>Rectifier diode for 4th output (12V)</v>
      </c>
      <c r="C98" s="67">
        <f>Vo4+SQRT(2)*V_line_max*(Vo4+VF4)/VRO</f>
        <v>76.18941975535404</v>
      </c>
      <c r="D98" s="67"/>
      <c r="E98" s="35" t="s">
        <v>2</v>
      </c>
      <c r="F98" s="24"/>
      <c r="G98" s="55">
        <f>Io4rms</f>
        <v>0.05706819047267549</v>
      </c>
      <c r="H98" s="35" t="s">
        <v>9</v>
      </c>
      <c r="I98" s="24"/>
      <c r="J98" s="24"/>
      <c r="K98" s="24"/>
      <c r="L98" s="24"/>
    </row>
    <row r="99" spans="1:12" ht="13.5">
      <c r="A99" s="24"/>
      <c r="B99" s="35" t="str">
        <f>CONCATENATE("Rectifier diode for 5th output (",(Vo5),"V)")</f>
        <v>Rectifier diode for 5th output (0V)</v>
      </c>
      <c r="C99" s="67">
        <f>Vo5+SQRT(2)*V_line_max*(Vo5+VF5)/VRO</f>
        <v>0</v>
      </c>
      <c r="D99" s="67"/>
      <c r="E99" s="35" t="s">
        <v>2</v>
      </c>
      <c r="F99" s="24"/>
      <c r="G99" s="55" t="e">
        <f>Io5rms</f>
        <v>#DIV/0!</v>
      </c>
      <c r="H99" s="35" t="s">
        <v>9</v>
      </c>
      <c r="I99" s="24"/>
      <c r="J99" s="24"/>
      <c r="K99" s="24"/>
      <c r="L99" s="24"/>
    </row>
    <row r="100" spans="1:12" ht="13.5">
      <c r="A100" s="24"/>
      <c r="B100" s="35" t="str">
        <f>CONCATENATE("Rectifier diode for 6th output (",(Vo6),"V)")</f>
        <v>Rectifier diode for 6th output (V)</v>
      </c>
      <c r="C100" s="67">
        <f>Vo6+SQRT(2)*V_line_max*(Vo6+VF6)/VRO</f>
        <v>0</v>
      </c>
      <c r="D100" s="67"/>
      <c r="E100" s="35" t="s">
        <v>2</v>
      </c>
      <c r="F100" s="24"/>
      <c r="G100" s="55" t="e">
        <f>Io6rms</f>
        <v>#DIV/0!</v>
      </c>
      <c r="H100" s="35" t="s">
        <v>9</v>
      </c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3" ht="13.5">
      <c r="A102" s="29" t="s">
        <v>40</v>
      </c>
      <c r="B102" s="29"/>
      <c r="C102" s="29"/>
      <c r="D102" s="29"/>
      <c r="E102" s="29"/>
      <c r="F102" s="29"/>
      <c r="G102" s="29"/>
      <c r="H102" s="29"/>
      <c r="I102" s="29"/>
      <c r="J102" s="24"/>
      <c r="K102" s="24"/>
      <c r="L102" s="24"/>
      <c r="M102" s="6"/>
    </row>
    <row r="103" spans="1:13" ht="13.5">
      <c r="A103" s="24"/>
      <c r="B103" s="49"/>
      <c r="C103" s="50"/>
      <c r="D103" s="51"/>
      <c r="E103" s="51"/>
      <c r="F103" s="24"/>
      <c r="G103" s="24"/>
      <c r="H103" s="24"/>
      <c r="I103" s="24"/>
      <c r="J103" s="24"/>
      <c r="K103" s="24"/>
      <c r="L103" s="24"/>
      <c r="M103" s="6"/>
    </row>
    <row r="104" spans="1:13" ht="13.5" customHeight="1">
      <c r="A104" s="24"/>
      <c r="B104" s="33"/>
      <c r="C104" s="171" t="s">
        <v>84</v>
      </c>
      <c r="D104" s="171"/>
      <c r="E104" s="172" t="s">
        <v>85</v>
      </c>
      <c r="F104" s="172"/>
      <c r="G104" s="174" t="s">
        <v>86</v>
      </c>
      <c r="H104" s="174"/>
      <c r="I104" s="162" t="s">
        <v>87</v>
      </c>
      <c r="J104" s="162"/>
      <c r="K104" s="24"/>
      <c r="L104" s="24"/>
      <c r="M104" s="6"/>
    </row>
    <row r="105" spans="1:13" ht="13.5">
      <c r="A105" s="24"/>
      <c r="B105" s="33"/>
      <c r="C105" s="171"/>
      <c r="D105" s="171"/>
      <c r="E105" s="172"/>
      <c r="F105" s="172"/>
      <c r="G105" s="174"/>
      <c r="H105" s="174"/>
      <c r="I105" s="162"/>
      <c r="J105" s="162"/>
      <c r="K105" s="24"/>
      <c r="L105" s="24"/>
      <c r="M105" s="6"/>
    </row>
    <row r="106" spans="1:13" ht="13.5">
      <c r="A106" s="24"/>
      <c r="B106" s="35" t="str">
        <f>CONCATENATE("Output capacitor for 1st output (",(Vo1),"V)")</f>
        <v>Output capacitor for 1st output (5V)</v>
      </c>
      <c r="C106" s="21">
        <v>1000</v>
      </c>
      <c r="D106" s="31" t="s">
        <v>33</v>
      </c>
      <c r="E106" s="21">
        <v>100</v>
      </c>
      <c r="F106" s="51" t="s">
        <v>34</v>
      </c>
      <c r="G106" s="69">
        <f>SQRT(Io1rms^2-Io_1^2)</f>
        <v>1.456399851497868</v>
      </c>
      <c r="H106" s="70" t="s">
        <v>9</v>
      </c>
      <c r="I106" s="55">
        <f>1000000*Io_1*Dmax/Co_1/fsw_min+Ipk*VRO*Rc_1/1000/(Vo1+VF1)*KL1</f>
        <v>0.39653962475880283</v>
      </c>
      <c r="J106" s="70" t="s">
        <v>2</v>
      </c>
      <c r="K106" s="24"/>
      <c r="L106" s="24"/>
      <c r="M106" s="6"/>
    </row>
    <row r="107" spans="1:13" ht="13.5">
      <c r="A107" s="24"/>
      <c r="B107" s="35" t="str">
        <f>CONCATENATE("Output capacitor for 2nd output (",(Vo2),"V)")</f>
        <v>Output capacitor for 2nd output (3.3V)</v>
      </c>
      <c r="C107" s="21">
        <v>1000</v>
      </c>
      <c r="D107" s="31" t="s">
        <v>33</v>
      </c>
      <c r="E107" s="21">
        <v>100</v>
      </c>
      <c r="F107" s="51" t="s">
        <v>34</v>
      </c>
      <c r="G107" s="69">
        <f>SQRT(Io2rms^2-Io_2^2)</f>
        <v>1.3655440033965132</v>
      </c>
      <c r="H107" s="70" t="s">
        <v>9</v>
      </c>
      <c r="I107" s="55">
        <f>1000000*Io_2*Dmax/Co_2/fsw_min+Ipk*VRO*Rc_2/1000/(Vo2+VF2)*KL2</f>
        <v>0.3791831528241045</v>
      </c>
      <c r="J107" s="70" t="s">
        <v>2</v>
      </c>
      <c r="K107" s="24"/>
      <c r="L107" s="24"/>
      <c r="M107" s="6"/>
    </row>
    <row r="108" spans="1:13" ht="13.5">
      <c r="A108" s="24"/>
      <c r="B108" s="35" t="str">
        <f>CONCATENATE("Output capacitor for 3rd output (",(Vo3),"V)")</f>
        <v>Output capacitor for 3rd output (12V)</v>
      </c>
      <c r="C108" s="21">
        <v>330</v>
      </c>
      <c r="D108" s="31" t="s">
        <v>33</v>
      </c>
      <c r="E108" s="21">
        <v>100</v>
      </c>
      <c r="F108" s="51" t="s">
        <v>34</v>
      </c>
      <c r="G108" s="69">
        <f>SQRT(Io3rms^2-Io_3^2)</f>
        <v>0.0485466617165956</v>
      </c>
      <c r="H108" s="70" t="s">
        <v>9</v>
      </c>
      <c r="I108" s="55">
        <f>1000000*Io_3*Dmax/Co_3/fsw_min+Ipk*VRO*Rc_3/1000/(Vo3+VF3)*KL3</f>
        <v>0.013798074072046675</v>
      </c>
      <c r="J108" s="70" t="s">
        <v>2</v>
      </c>
      <c r="K108" s="24"/>
      <c r="L108" s="24"/>
      <c r="M108" s="6"/>
    </row>
    <row r="109" spans="1:13" ht="13.5">
      <c r="A109" s="24"/>
      <c r="B109" s="35" t="str">
        <f>CONCATENATE("Output capacitor for 4th output (",(Vo4),"V)")</f>
        <v>Output capacitor for 4th output (12V)</v>
      </c>
      <c r="C109" s="21">
        <v>330</v>
      </c>
      <c r="D109" s="31" t="s">
        <v>33</v>
      </c>
      <c r="E109" s="21">
        <v>100</v>
      </c>
      <c r="F109" s="51" t="s">
        <v>34</v>
      </c>
      <c r="G109" s="69">
        <f>SQRT(Io4rms^2-Io_4^2)</f>
        <v>0.0485466617165956</v>
      </c>
      <c r="H109" s="70" t="s">
        <v>9</v>
      </c>
      <c r="I109" s="55">
        <f>1000000*Io_4*Dmax/Co_4/fsw_min+Ipk*VRO*Rc_4/1000/(Vo4+VF4)*KL4</f>
        <v>0.013798074072046675</v>
      </c>
      <c r="J109" s="70" t="s">
        <v>2</v>
      </c>
      <c r="K109" s="24"/>
      <c r="L109" s="24"/>
      <c r="M109" s="6"/>
    </row>
    <row r="110" spans="1:13" ht="13.5">
      <c r="A110" s="24"/>
      <c r="B110" s="35" t="str">
        <f>CONCATENATE("Output capacitor for 5th output (",(Vo5),"V)")</f>
        <v>Output capacitor for 5th output (0V)</v>
      </c>
      <c r="C110" s="21">
        <v>0</v>
      </c>
      <c r="D110" s="31" t="s">
        <v>33</v>
      </c>
      <c r="E110" s="21">
        <v>0</v>
      </c>
      <c r="F110" s="51" t="s">
        <v>34</v>
      </c>
      <c r="G110" s="69" t="e">
        <f>SQRT(Io5rms^2-Io_5^2)</f>
        <v>#DIV/0!</v>
      </c>
      <c r="H110" s="70" t="s">
        <v>9</v>
      </c>
      <c r="I110" s="55" t="e">
        <f>1000000*Io_5*Dmax/Co_5/fs+Ipk*VRO*Rc_5/1000/(Vo5+VF5)*KL5</f>
        <v>#DIV/0!</v>
      </c>
      <c r="J110" s="70" t="s">
        <v>2</v>
      </c>
      <c r="K110" s="24"/>
      <c r="L110" s="71"/>
      <c r="M110" s="6"/>
    </row>
    <row r="111" spans="1:13" ht="13.5">
      <c r="A111" s="24"/>
      <c r="B111" s="35" t="str">
        <f>CONCATENATE("Output capacitor for 6th output (",(Vo6),"V)")</f>
        <v>Output capacitor for 6th output (V)</v>
      </c>
      <c r="C111" s="21"/>
      <c r="D111" s="31" t="s">
        <v>33</v>
      </c>
      <c r="E111" s="21"/>
      <c r="F111" s="51" t="s">
        <v>34</v>
      </c>
      <c r="G111" s="69" t="e">
        <f>SQRT(Io6rms^2-Io_6^2)</f>
        <v>#DIV/0!</v>
      </c>
      <c r="H111" s="70" t="s">
        <v>9</v>
      </c>
      <c r="I111" s="55" t="e">
        <f>1000000*Io_6*Dmax/Co_6/fs+Ipk*VRO*Rc_6/1000/(Vo6+VF6)*KL6</f>
        <v>#DIV/0!</v>
      </c>
      <c r="J111" s="70" t="s">
        <v>2</v>
      </c>
      <c r="K111" s="24"/>
      <c r="L111" s="71"/>
      <c r="M111" s="6"/>
    </row>
    <row r="112" spans="1:1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71"/>
      <c r="M112" s="6"/>
    </row>
    <row r="113" spans="1:13" ht="13.5">
      <c r="A113" s="29" t="s">
        <v>41</v>
      </c>
      <c r="B113" s="29"/>
      <c r="C113" s="29"/>
      <c r="D113" s="29"/>
      <c r="E113" s="29"/>
      <c r="F113" s="29"/>
      <c r="G113" s="29"/>
      <c r="H113" s="29"/>
      <c r="I113" s="29"/>
      <c r="J113" s="24"/>
      <c r="K113" s="24"/>
      <c r="L113" s="71"/>
      <c r="M113" s="6"/>
    </row>
    <row r="114" spans="1:13" ht="16.5">
      <c r="A114" s="24"/>
      <c r="B114" s="31" t="s">
        <v>88</v>
      </c>
      <c r="C114" s="22">
        <v>50</v>
      </c>
      <c r="D114" s="31" t="s">
        <v>6</v>
      </c>
      <c r="E114" s="24"/>
      <c r="F114" s="24"/>
      <c r="G114" s="24"/>
      <c r="H114" s="24"/>
      <c r="I114" s="24"/>
      <c r="J114" s="24"/>
      <c r="K114" s="24"/>
      <c r="L114" s="71"/>
      <c r="M114" s="6"/>
    </row>
    <row r="115" spans="1:13" ht="16.5">
      <c r="A115" s="24"/>
      <c r="B115" s="31" t="s">
        <v>123</v>
      </c>
      <c r="C115" s="22">
        <v>400</v>
      </c>
      <c r="D115" s="31" t="s">
        <v>2</v>
      </c>
      <c r="E115" s="24"/>
      <c r="F115" s="72"/>
      <c r="G115" s="24"/>
      <c r="H115" s="24"/>
      <c r="I115" s="24"/>
      <c r="J115" s="24"/>
      <c r="K115" s="24"/>
      <c r="L115" s="71"/>
      <c r="M115" s="6"/>
    </row>
    <row r="116" spans="1:13" ht="13.5">
      <c r="A116" s="24"/>
      <c r="B116" s="31" t="s">
        <v>89</v>
      </c>
      <c r="C116" s="22">
        <v>30</v>
      </c>
      <c r="D116" s="31" t="s">
        <v>5</v>
      </c>
      <c r="E116" s="24"/>
      <c r="F116" s="24"/>
      <c r="G116" s="24"/>
      <c r="H116" s="24"/>
      <c r="I116" s="24"/>
      <c r="J116" s="24"/>
      <c r="K116" s="24"/>
      <c r="L116" s="71"/>
      <c r="M116" s="6"/>
    </row>
    <row r="117" spans="1:13" ht="16.5">
      <c r="A117" s="24"/>
      <c r="B117" s="35" t="s">
        <v>107</v>
      </c>
      <c r="C117" s="36">
        <f>Vsn^2/C119/1000</f>
        <v>268.43850543430403</v>
      </c>
      <c r="D117" s="35" t="s">
        <v>35</v>
      </c>
      <c r="E117" s="24"/>
      <c r="F117" s="24"/>
      <c r="G117" s="24"/>
      <c r="H117" s="24"/>
      <c r="I117" s="24"/>
      <c r="J117" s="24"/>
      <c r="K117" s="24"/>
      <c r="L117" s="71"/>
      <c r="M117" s="6"/>
    </row>
    <row r="118" spans="1:13" ht="16.5">
      <c r="A118" s="24"/>
      <c r="B118" s="35" t="s">
        <v>108</v>
      </c>
      <c r="C118" s="137">
        <f>100/C116/C117/1000/(fsw_max*1000)*10^9</f>
        <v>0.16381917236325652</v>
      </c>
      <c r="D118" s="35" t="s">
        <v>38</v>
      </c>
      <c r="E118" s="24"/>
      <c r="F118" s="24"/>
      <c r="G118" s="23">
        <f>VRO/(Vdc_max+VRO)</f>
        <v>0.17056595128543758</v>
      </c>
      <c r="H118" s="24"/>
      <c r="I118" s="24"/>
      <c r="J118" s="24"/>
      <c r="K118" s="24"/>
      <c r="L118" s="71"/>
      <c r="M118" s="6"/>
    </row>
    <row r="119" spans="1:13" ht="24.75" customHeight="1">
      <c r="A119" s="24"/>
      <c r="B119" s="143" t="s">
        <v>124</v>
      </c>
      <c r="C119" s="159">
        <f>0.5*Ipk^2*Llk/1000000*(fsw_max*1000)*Vsn/(Vsn-VRO)</f>
        <v>0.5960396767264725</v>
      </c>
      <c r="D119" s="143" t="s">
        <v>4</v>
      </c>
      <c r="E119" s="168" t="s">
        <v>314</v>
      </c>
      <c r="F119" s="169"/>
      <c r="G119" s="169"/>
      <c r="H119" s="169"/>
      <c r="I119" s="169"/>
      <c r="J119" s="169"/>
      <c r="K119" s="169"/>
      <c r="L119" s="73"/>
      <c r="M119" s="9"/>
    </row>
    <row r="120" spans="1:13" ht="17.25">
      <c r="A120" s="24"/>
      <c r="B120" s="35" t="s">
        <v>109</v>
      </c>
      <c r="C120" s="38">
        <f>IF(Pin/(Vdc_max*G118)+Vdc_max*G118/Lm_max/fsw_min/2&gt;SQRT(2*Pin/fsw_min/Lm_max),Pin/(Vdc_max*G118)+Vdc_max*G118/Lm_max/fsw_min/2,SQRT(2*Pin/fsw_min/Lm_max))</f>
        <v>0.17551270747814085</v>
      </c>
      <c r="D120" s="35" t="s">
        <v>9</v>
      </c>
      <c r="E120" s="24"/>
      <c r="F120" s="24"/>
      <c r="G120" s="24"/>
      <c r="H120" s="24"/>
      <c r="I120" s="24"/>
      <c r="J120" s="24"/>
      <c r="K120" s="24"/>
      <c r="L120" s="24"/>
      <c r="M120" s="10"/>
    </row>
    <row r="121" spans="1:13" ht="17.25">
      <c r="A121" s="24"/>
      <c r="B121" s="35" t="s">
        <v>110</v>
      </c>
      <c r="C121" s="3">
        <f>(VRO+SQRT(VRO^2+2*C117*Llk*C120^2*(fsw_max*1000)/1000))/2</f>
        <v>169.51058133311807</v>
      </c>
      <c r="D121" s="35" t="s">
        <v>2</v>
      </c>
      <c r="E121" s="24"/>
      <c r="F121" s="24"/>
      <c r="G121" s="24"/>
      <c r="H121" s="24"/>
      <c r="I121" s="24"/>
      <c r="J121" s="24"/>
      <c r="K121" s="24"/>
      <c r="L121" s="24"/>
      <c r="M121" s="10"/>
    </row>
    <row r="122" spans="1:13" ht="17.25">
      <c r="A122" s="24"/>
      <c r="B122" s="35" t="s">
        <v>111</v>
      </c>
      <c r="C122" s="74">
        <f>Vdc_max+C121</f>
        <v>544.2771753619883</v>
      </c>
      <c r="D122" s="35" t="s">
        <v>2</v>
      </c>
      <c r="E122" s="24"/>
      <c r="F122" s="24"/>
      <c r="G122" s="24"/>
      <c r="H122" s="24"/>
      <c r="I122" s="24"/>
      <c r="J122" s="24"/>
      <c r="K122" s="24"/>
      <c r="L122" s="75"/>
      <c r="M122" s="10"/>
    </row>
    <row r="123" spans="1:13" ht="13.5">
      <c r="A123" s="24"/>
      <c r="B123" s="24"/>
      <c r="C123" s="24"/>
      <c r="D123" s="35"/>
      <c r="E123" s="24"/>
      <c r="F123" s="24"/>
      <c r="G123" s="24"/>
      <c r="H123" s="24"/>
      <c r="I123" s="24"/>
      <c r="J123" s="24"/>
      <c r="K123" s="24"/>
      <c r="L123" s="24"/>
      <c r="M123" s="12"/>
    </row>
    <row r="124" spans="1:13" ht="13.5">
      <c r="A124" s="29" t="s">
        <v>42</v>
      </c>
      <c r="B124" s="29"/>
      <c r="C124" s="29"/>
      <c r="D124" s="29"/>
      <c r="E124" s="29"/>
      <c r="F124" s="29"/>
      <c r="G124" s="29"/>
      <c r="H124" s="29"/>
      <c r="I124" s="29"/>
      <c r="J124" s="24"/>
      <c r="K124" s="24"/>
      <c r="L124" s="75"/>
      <c r="M124" s="10"/>
    </row>
    <row r="125" spans="1:1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76"/>
      <c r="L125" s="24"/>
      <c r="M125" s="10"/>
    </row>
    <row r="126" spans="1:13" ht="13.5">
      <c r="A126" s="24"/>
      <c r="B126" s="90" t="s">
        <v>112</v>
      </c>
      <c r="C126" s="67">
        <f>Ilim_min_act*(Vo1^2/Po)/3*VRO/(Vo1+VF1)*Vdc_min/(Vdc_min+2*VRO)</f>
        <v>2.56784659490208</v>
      </c>
      <c r="D126" s="77"/>
      <c r="E126" s="24"/>
      <c r="F126" s="24"/>
      <c r="G126" s="23"/>
      <c r="H126" s="23"/>
      <c r="I126" s="23"/>
      <c r="J126" s="23"/>
      <c r="K126" s="47"/>
      <c r="L126" s="78"/>
      <c r="M126" s="10"/>
    </row>
    <row r="127" spans="1:13" ht="16.5">
      <c r="A127" s="24"/>
      <c r="B127" s="90" t="s">
        <v>116</v>
      </c>
      <c r="C127" s="67">
        <f>1/(Rc_1*Co_1)*10^9</f>
        <v>10000</v>
      </c>
      <c r="D127" s="35" t="s">
        <v>90</v>
      </c>
      <c r="E127" s="35"/>
      <c r="F127" s="89" t="s">
        <v>91</v>
      </c>
      <c r="G127" s="173">
        <f>1/(2*3.14*Rc_1*Co_1)*10^9</f>
        <v>1592.3566878980891</v>
      </c>
      <c r="H127" s="173"/>
      <c r="I127" s="35" t="s">
        <v>3</v>
      </c>
      <c r="J127" s="24"/>
      <c r="K127" s="47"/>
      <c r="L127" s="79"/>
      <c r="M127" s="12"/>
    </row>
    <row r="128" spans="1:13" ht="16.5">
      <c r="A128" s="24"/>
      <c r="B128" s="90" t="s">
        <v>117</v>
      </c>
      <c r="C128" s="67">
        <f>((Vo1/Io_1)*(1-Dmax)^2)/(Lm_max*0.000001*Dmax*((Vo1+VF1)/VRO)^2)</f>
        <v>288463.71561190987</v>
      </c>
      <c r="D128" s="35" t="s">
        <v>90</v>
      </c>
      <c r="E128" s="24"/>
      <c r="F128" s="89" t="s">
        <v>92</v>
      </c>
      <c r="G128" s="173">
        <f>1/(2*3.14)*((Vo1/Io_1)*(1-Dmax)^2)/(Lm_max*0.000001*Dmax*((Vo1+VF1)/VRO)^2)</f>
        <v>45933.71267705571</v>
      </c>
      <c r="H128" s="173"/>
      <c r="I128" s="35" t="s">
        <v>3</v>
      </c>
      <c r="J128" s="24"/>
      <c r="K128" s="47"/>
      <c r="L128" s="78"/>
      <c r="M128" s="10"/>
    </row>
    <row r="129" spans="1:13" ht="16.5">
      <c r="A129" s="24"/>
      <c r="B129" s="90" t="s">
        <v>118</v>
      </c>
      <c r="C129" s="67">
        <f>1/(Vo1^2/Po*Co_1)*10^6</f>
        <v>327.59999999999997</v>
      </c>
      <c r="D129" s="35" t="s">
        <v>90</v>
      </c>
      <c r="E129" s="24"/>
      <c r="F129" s="89" t="s">
        <v>93</v>
      </c>
      <c r="G129" s="173">
        <f>1/(2*3.14*Vo1^2/Po*Co_1)*10^6</f>
        <v>52.1656050955414</v>
      </c>
      <c r="H129" s="173"/>
      <c r="I129" s="35" t="s">
        <v>3</v>
      </c>
      <c r="J129" s="24"/>
      <c r="K129" s="47"/>
      <c r="L129" s="78"/>
      <c r="M129" s="9"/>
    </row>
    <row r="130" spans="1:13" ht="13.5">
      <c r="A130" s="24"/>
      <c r="B130" s="24"/>
      <c r="C130" s="24"/>
      <c r="D130" s="24"/>
      <c r="E130" s="32"/>
      <c r="F130" s="32"/>
      <c r="G130" s="24"/>
      <c r="H130" s="24"/>
      <c r="I130" s="24"/>
      <c r="J130" s="24"/>
      <c r="K130" s="47"/>
      <c r="L130" s="78"/>
      <c r="M130" s="9"/>
    </row>
    <row r="131" spans="1:13" ht="16.5">
      <c r="A131" s="24"/>
      <c r="B131" s="31" t="s">
        <v>94</v>
      </c>
      <c r="C131" s="2">
        <v>5.6</v>
      </c>
      <c r="D131" s="31" t="s">
        <v>35</v>
      </c>
      <c r="E131" s="24"/>
      <c r="F131" s="24"/>
      <c r="G131" s="24"/>
      <c r="H131" s="24"/>
      <c r="I131" s="24"/>
      <c r="J131" s="24"/>
      <c r="K131" s="47"/>
      <c r="L131" s="79"/>
      <c r="M131" s="6"/>
    </row>
    <row r="132" spans="1:13" ht="16.5">
      <c r="A132" s="24"/>
      <c r="B132" s="90" t="s">
        <v>113</v>
      </c>
      <c r="C132" s="67">
        <f>2.5*R_1/(Vo1-2.5)</f>
        <v>5.6</v>
      </c>
      <c r="D132" s="35" t="s">
        <v>35</v>
      </c>
      <c r="E132" s="24"/>
      <c r="F132" s="24"/>
      <c r="G132" s="24"/>
      <c r="H132" s="24"/>
      <c r="I132" s="24"/>
      <c r="J132" s="24"/>
      <c r="K132" s="47"/>
      <c r="L132" s="78"/>
      <c r="M132" s="6"/>
    </row>
    <row r="133" spans="1:13" ht="16.5">
      <c r="A133" s="24"/>
      <c r="B133" s="31" t="s">
        <v>95</v>
      </c>
      <c r="C133" s="2">
        <v>1</v>
      </c>
      <c r="D133" s="31" t="s">
        <v>55</v>
      </c>
      <c r="E133" s="80"/>
      <c r="F133" s="25"/>
      <c r="G133" s="25"/>
      <c r="H133" s="24"/>
      <c r="I133" s="24"/>
      <c r="J133" s="24"/>
      <c r="K133" s="47"/>
      <c r="L133" s="81"/>
      <c r="M133" s="6"/>
    </row>
    <row r="134" spans="1:13" ht="16.5">
      <c r="A134" s="24"/>
      <c r="B134" s="31" t="s">
        <v>96</v>
      </c>
      <c r="C134" s="2">
        <v>1.2</v>
      </c>
      <c r="D134" s="31" t="s">
        <v>55</v>
      </c>
      <c r="E134" s="82"/>
      <c r="F134" s="25"/>
      <c r="G134" s="25"/>
      <c r="H134" s="24"/>
      <c r="I134" s="24"/>
      <c r="J134" s="24"/>
      <c r="K134" s="47"/>
      <c r="L134" s="83"/>
      <c r="M134" s="6"/>
    </row>
    <row r="135" spans="1:13" ht="16.5">
      <c r="A135" s="24"/>
      <c r="B135" s="84" t="s">
        <v>97</v>
      </c>
      <c r="C135" s="2">
        <v>40</v>
      </c>
      <c r="D135" s="84" t="s">
        <v>38</v>
      </c>
      <c r="E135" s="24"/>
      <c r="F135" s="24"/>
      <c r="G135" s="24"/>
      <c r="H135" s="24"/>
      <c r="I135" s="24"/>
      <c r="J135" s="24"/>
      <c r="K135" s="47"/>
      <c r="L135" s="85"/>
      <c r="M135" s="6"/>
    </row>
    <row r="136" spans="1:13" ht="12" customHeight="1">
      <c r="A136" s="24"/>
      <c r="B136" s="84" t="s">
        <v>98</v>
      </c>
      <c r="C136" s="2">
        <v>50</v>
      </c>
      <c r="D136" s="84" t="s">
        <v>38</v>
      </c>
      <c r="E136" s="24"/>
      <c r="F136" s="24"/>
      <c r="G136" s="24"/>
      <c r="H136" s="24"/>
      <c r="I136" s="24"/>
      <c r="J136" s="24"/>
      <c r="K136" s="47"/>
      <c r="L136" s="85"/>
      <c r="M136" s="6"/>
    </row>
    <row r="137" spans="1:13" ht="16.5">
      <c r="A137" s="24"/>
      <c r="B137" s="84" t="s">
        <v>99</v>
      </c>
      <c r="C137" s="2">
        <v>5</v>
      </c>
      <c r="D137" s="84" t="s">
        <v>35</v>
      </c>
      <c r="E137" s="24"/>
      <c r="F137" s="24"/>
      <c r="G137" s="24"/>
      <c r="H137" s="24"/>
      <c r="I137" s="24"/>
      <c r="J137" s="24"/>
      <c r="K137" s="47"/>
      <c r="L137" s="85"/>
      <c r="M137" s="6"/>
    </row>
    <row r="138" spans="1:1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85"/>
      <c r="M138" s="6"/>
    </row>
    <row r="139" spans="1:13" ht="16.5">
      <c r="A139" s="24"/>
      <c r="B139" s="35" t="s">
        <v>119</v>
      </c>
      <c r="C139" s="86">
        <f>3/(C131*C133*C136)*1000000</f>
        <v>10714.285714285714</v>
      </c>
      <c r="D139" s="35" t="s">
        <v>90</v>
      </c>
      <c r="E139" s="32"/>
      <c r="F139" s="89" t="s">
        <v>120</v>
      </c>
      <c r="G139" s="170">
        <f>3/(2*3.14*C131*C133*C136)*1000000</f>
        <v>1706.0964513193815</v>
      </c>
      <c r="H139" s="170"/>
      <c r="I139" s="35" t="s">
        <v>3</v>
      </c>
      <c r="J139" s="24"/>
      <c r="K139" s="47"/>
      <c r="L139" s="85"/>
      <c r="M139" s="6"/>
    </row>
    <row r="140" spans="1:13" ht="16.5">
      <c r="A140" s="24"/>
      <c r="B140" s="90" t="s">
        <v>114</v>
      </c>
      <c r="C140" s="87">
        <f>1/(C136*(C137+C131))*10^6</f>
        <v>1886.7924528301887</v>
      </c>
      <c r="D140" s="35" t="s">
        <v>90</v>
      </c>
      <c r="E140" s="24"/>
      <c r="F140" s="89" t="s">
        <v>126</v>
      </c>
      <c r="G140" s="163">
        <f>1/(2*3.14*C136*(C137+C131))*10^6</f>
        <v>300.44465809397906</v>
      </c>
      <c r="H140" s="163"/>
      <c r="I140" s="35" t="s">
        <v>3</v>
      </c>
      <c r="J140" s="24"/>
      <c r="K140" s="47"/>
      <c r="L140" s="85"/>
      <c r="M140" s="6"/>
    </row>
    <row r="141" spans="1:13" ht="16.5">
      <c r="A141" s="24"/>
      <c r="B141" s="90" t="s">
        <v>115</v>
      </c>
      <c r="C141" s="87">
        <f>1/(3*C135)*1000000</f>
        <v>8333.333333333334</v>
      </c>
      <c r="D141" s="35" t="s">
        <v>90</v>
      </c>
      <c r="E141" s="24"/>
      <c r="F141" s="89" t="s">
        <v>127</v>
      </c>
      <c r="G141" s="163">
        <f>1/(2*3.14*3*C135)*1000000</f>
        <v>1326.963906581741</v>
      </c>
      <c r="H141" s="163"/>
      <c r="I141" s="35" t="s">
        <v>3</v>
      </c>
      <c r="J141" s="24"/>
      <c r="K141" s="47"/>
      <c r="L141" s="85"/>
      <c r="M141" s="6"/>
    </row>
    <row r="142" spans="1:13" ht="13.5">
      <c r="A142" s="24"/>
      <c r="B142" s="47"/>
      <c r="C142" s="47"/>
      <c r="D142" s="47"/>
      <c r="E142" s="93"/>
      <c r="F142" s="47"/>
      <c r="G142" s="47"/>
      <c r="H142" s="47"/>
      <c r="I142" s="47"/>
      <c r="J142" s="47"/>
      <c r="K142" s="47"/>
      <c r="L142" s="85"/>
      <c r="M142" s="6"/>
    </row>
    <row r="143" spans="1:13" ht="13.5">
      <c r="A143" s="24"/>
      <c r="B143" s="76"/>
      <c r="C143" s="76"/>
      <c r="D143" s="76"/>
      <c r="E143" s="76"/>
      <c r="F143" s="76"/>
      <c r="G143" s="76"/>
      <c r="H143" s="76"/>
      <c r="I143" s="76"/>
      <c r="J143" s="76"/>
      <c r="K143" s="93"/>
      <c r="L143" s="85"/>
      <c r="M143" s="6"/>
    </row>
    <row r="144" spans="1:13" ht="13.5">
      <c r="A144" s="24"/>
      <c r="B144" s="76">
        <v>16</v>
      </c>
      <c r="C144" s="76">
        <f aca="true" t="shared" si="4" ref="C144:C163">20*LOG(k_1*SQRT(1+B144^2/fz_1^2)*SQRT(1+B144^2/fzr^2)/SQRT(1+B144^2/fp_1^2))</f>
        <v>7.801351910226603</v>
      </c>
      <c r="D144" s="76">
        <f aca="true" t="shared" si="5" ref="D144:D163">20*LOG(fi/B144*SQRT(1+B144^2/fz^2)/SQRT(1+B144^2/fp^2))</f>
        <v>40.56933987772848</v>
      </c>
      <c r="E144" s="76">
        <f aca="true" t="shared" si="6" ref="E144:E163">SUM(C144:D144)</f>
        <v>48.37069178795508</v>
      </c>
      <c r="F144" s="76"/>
      <c r="G144" s="76">
        <v>16</v>
      </c>
      <c r="H144" s="76">
        <f aca="true" t="shared" si="7" ref="H144:H163">180/3.14*(ATAN(G144/fz_1)-ATAN(G144/fzr)-ATAN(G144/fp_1))</f>
        <v>-16.50422476589322</v>
      </c>
      <c r="I144" s="76">
        <f aca="true" t="shared" si="8" ref="I144:I163">180/3.14*(ATAN(G144/fz)-ATAN(G144/fp))-90</f>
        <v>-87.64124755046706</v>
      </c>
      <c r="J144" s="76">
        <f aca="true" t="shared" si="9" ref="J144:J163">SUM(H144:I144)</f>
        <v>-104.14547231636027</v>
      </c>
      <c r="K144" s="93"/>
      <c r="L144" s="85"/>
      <c r="M144" s="6"/>
    </row>
    <row r="145" spans="1:13" ht="13.5">
      <c r="A145" s="24"/>
      <c r="B145" s="76">
        <v>25</v>
      </c>
      <c r="C145" s="76">
        <f t="shared" si="4"/>
        <v>7.294553833206516</v>
      </c>
      <c r="D145" s="76">
        <f t="shared" si="5"/>
        <v>36.70969669384296</v>
      </c>
      <c r="E145" s="76">
        <f t="shared" si="6"/>
        <v>44.00425052704947</v>
      </c>
      <c r="F145" s="76"/>
      <c r="G145" s="76">
        <v>25</v>
      </c>
      <c r="H145" s="76">
        <f t="shared" si="7"/>
        <v>-24.7500046898476</v>
      </c>
      <c r="I145" s="76">
        <f t="shared" si="8"/>
        <v>-86.32083574410059</v>
      </c>
      <c r="J145" s="76">
        <f t="shared" si="9"/>
        <v>-111.07084043394819</v>
      </c>
      <c r="K145" s="93"/>
      <c r="L145" s="85"/>
      <c r="M145" s="6"/>
    </row>
    <row r="146" spans="1:13" ht="13.5">
      <c r="A146" s="24"/>
      <c r="B146" s="76">
        <v>40</v>
      </c>
      <c r="C146" s="76">
        <f t="shared" si="4"/>
        <v>6.1857150963928484</v>
      </c>
      <c r="D146" s="76">
        <f t="shared" si="5"/>
        <v>32.67123255376052</v>
      </c>
      <c r="E146" s="76">
        <f t="shared" si="6"/>
        <v>38.856947650153366</v>
      </c>
      <c r="F146" s="76"/>
      <c r="G146" s="76">
        <v>40</v>
      </c>
      <c r="H146" s="76">
        <f t="shared" si="7"/>
        <v>-36.10981842741723</v>
      </c>
      <c r="I146" s="76">
        <f t="shared" si="8"/>
        <v>-84.14009621241195</v>
      </c>
      <c r="J146" s="76">
        <f t="shared" si="9"/>
        <v>-120.24991463982917</v>
      </c>
      <c r="K146" s="93"/>
      <c r="L146" s="85"/>
      <c r="M146" s="6"/>
    </row>
    <row r="147" spans="1:13" ht="13.5">
      <c r="A147" s="24"/>
      <c r="B147" s="76">
        <v>63</v>
      </c>
      <c r="C147" s="76">
        <f t="shared" si="4"/>
        <v>4.2914437013585</v>
      </c>
      <c r="D147" s="76">
        <f t="shared" si="5"/>
        <v>28.830360779776907</v>
      </c>
      <c r="E147" s="76">
        <f t="shared" si="6"/>
        <v>33.121804481135406</v>
      </c>
      <c r="F147" s="76"/>
      <c r="G147" s="76">
        <v>63</v>
      </c>
      <c r="H147" s="76">
        <f t="shared" si="7"/>
        <v>-48.21173360947355</v>
      </c>
      <c r="I147" s="76">
        <f t="shared" si="8"/>
        <v>-80.8708284197224</v>
      </c>
      <c r="J147" s="76">
        <f t="shared" si="9"/>
        <v>-129.08256202919594</v>
      </c>
      <c r="K147" s="93"/>
      <c r="L147" s="85"/>
      <c r="M147" s="6"/>
    </row>
    <row r="148" spans="1:13" ht="13.5">
      <c r="A148" s="24"/>
      <c r="B148" s="76">
        <v>100</v>
      </c>
      <c r="C148" s="76">
        <f t="shared" si="4"/>
        <v>1.5108832691707232</v>
      </c>
      <c r="D148" s="76">
        <f t="shared" si="5"/>
        <v>25.07176737294545</v>
      </c>
      <c r="E148" s="76">
        <f t="shared" si="6"/>
        <v>26.582650642116175</v>
      </c>
      <c r="F148" s="76"/>
      <c r="G148" s="76">
        <v>100</v>
      </c>
      <c r="H148" s="76">
        <f t="shared" si="7"/>
        <v>-59.012126467825205</v>
      </c>
      <c r="I148" s="76">
        <f t="shared" si="8"/>
        <v>-75.89300650549535</v>
      </c>
      <c r="J148" s="76">
        <f t="shared" si="9"/>
        <v>-134.90513297332055</v>
      </c>
      <c r="K148" s="93"/>
      <c r="L148" s="85"/>
      <c r="M148" s="6"/>
    </row>
    <row r="149" spans="1:13" ht="13.5">
      <c r="A149" s="24"/>
      <c r="B149" s="76">
        <v>160</v>
      </c>
      <c r="C149" s="76">
        <f t="shared" si="4"/>
        <v>-1.9383775449947513</v>
      </c>
      <c r="D149" s="76">
        <f t="shared" si="5"/>
        <v>21.579293921465847</v>
      </c>
      <c r="E149" s="76">
        <f t="shared" si="6"/>
        <v>19.640916376471097</v>
      </c>
      <c r="F149" s="76"/>
      <c r="G149" s="76">
        <v>160</v>
      </c>
      <c r="H149" s="76">
        <f t="shared" si="7"/>
        <v>-66.43765322521301</v>
      </c>
      <c r="I149" s="76">
        <f t="shared" si="8"/>
        <v>-68.8273061637056</v>
      </c>
      <c r="J149" s="76">
        <f t="shared" si="9"/>
        <v>-135.2649593889186</v>
      </c>
      <c r="K149" s="93"/>
      <c r="L149" s="85"/>
      <c r="M149" s="6"/>
    </row>
    <row r="150" spans="1:13" ht="13.5">
      <c r="A150" s="24"/>
      <c r="B150" s="76">
        <v>250</v>
      </c>
      <c r="C150" s="76">
        <f t="shared" si="4"/>
        <v>-5.498944864148626</v>
      </c>
      <c r="D150" s="76">
        <f t="shared" si="5"/>
        <v>18.814798759979674</v>
      </c>
      <c r="E150" s="76">
        <f t="shared" si="6"/>
        <v>13.315853895831047</v>
      </c>
      <c r="F150" s="76"/>
      <c r="G150" s="76">
        <v>250</v>
      </c>
      <c r="H150" s="76">
        <f t="shared" si="7"/>
        <v>-69.63817920752324</v>
      </c>
      <c r="I150" s="76">
        <f t="shared" si="8"/>
        <v>-60.890862973592434</v>
      </c>
      <c r="J150" s="76">
        <f t="shared" si="9"/>
        <v>-130.52904218111567</v>
      </c>
      <c r="K150" s="93"/>
      <c r="L150" s="85"/>
      <c r="M150" s="6"/>
    </row>
    <row r="151" spans="1:12" ht="13.5">
      <c r="A151" s="24"/>
      <c r="B151" s="76">
        <v>400</v>
      </c>
      <c r="C151" s="76">
        <f t="shared" si="4"/>
        <v>-9.309299849225162</v>
      </c>
      <c r="D151" s="76">
        <f t="shared" si="5"/>
        <v>16.649903428710424</v>
      </c>
      <c r="E151" s="76">
        <f t="shared" si="6"/>
        <v>7.340603579485261</v>
      </c>
      <c r="F151" s="76"/>
      <c r="G151" s="76">
        <v>400</v>
      </c>
      <c r="H151" s="76">
        <f t="shared" si="7"/>
        <v>-69.00273844580883</v>
      </c>
      <c r="I151" s="76">
        <f t="shared" si="8"/>
        <v>-53.66712764236632</v>
      </c>
      <c r="J151" s="76">
        <f t="shared" si="9"/>
        <v>-122.66986608817516</v>
      </c>
      <c r="K151" s="93"/>
      <c r="L151" s="85"/>
    </row>
    <row r="152" spans="1:12" ht="13.5">
      <c r="A152" s="24"/>
      <c r="B152" s="76">
        <v>630</v>
      </c>
      <c r="C152" s="76">
        <f t="shared" si="4"/>
        <v>-12.845029550025993</v>
      </c>
      <c r="D152" s="76">
        <f t="shared" si="5"/>
        <v>15.091954172061325</v>
      </c>
      <c r="E152" s="76">
        <f t="shared" si="6"/>
        <v>2.2469246220353316</v>
      </c>
      <c r="F152" s="76"/>
      <c r="G152" s="76">
        <v>630</v>
      </c>
      <c r="H152" s="76">
        <f t="shared" si="7"/>
        <v>-64.4993131385652</v>
      </c>
      <c r="I152" s="76">
        <f t="shared" si="8"/>
        <v>-50.873336763258116</v>
      </c>
      <c r="J152" s="76">
        <f t="shared" si="9"/>
        <v>-115.37264990182331</v>
      </c>
      <c r="K152" s="93"/>
      <c r="L152" s="85"/>
    </row>
    <row r="153" spans="1:12" ht="13.5">
      <c r="A153" s="24"/>
      <c r="B153" s="76">
        <v>1000</v>
      </c>
      <c r="C153" s="76">
        <f t="shared" si="4"/>
        <v>-16.02685392066525</v>
      </c>
      <c r="D153" s="76">
        <f t="shared" si="5"/>
        <v>13.506891002353967</v>
      </c>
      <c r="E153" s="76">
        <f t="shared" si="6"/>
        <v>-2.5199629183112826</v>
      </c>
      <c r="F153" s="76"/>
      <c r="G153" s="76">
        <v>1000</v>
      </c>
      <c r="H153" s="76">
        <f t="shared" si="7"/>
        <v>-56.160648716226945</v>
      </c>
      <c r="I153" s="76">
        <f t="shared" si="8"/>
        <v>-53.70589440229192</v>
      </c>
      <c r="J153" s="76">
        <f t="shared" si="9"/>
        <v>-109.86654311851886</v>
      </c>
      <c r="K153" s="93"/>
      <c r="L153" s="85"/>
    </row>
    <row r="154" spans="1:12" ht="13.5">
      <c r="A154" s="24"/>
      <c r="B154" s="76">
        <v>1600</v>
      </c>
      <c r="C154" s="76">
        <f t="shared" si="4"/>
        <v>-18.511534994446283</v>
      </c>
      <c r="D154" s="76">
        <f t="shared" si="5"/>
        <v>11.33678566591075</v>
      </c>
      <c r="E154" s="76">
        <f t="shared" si="6"/>
        <v>-7.174749328535533</v>
      </c>
      <c r="F154" s="76"/>
      <c r="G154" s="76">
        <v>1600</v>
      </c>
      <c r="H154" s="76">
        <f t="shared" si="7"/>
        <v>-45.013223820552916</v>
      </c>
      <c r="I154" s="76">
        <f t="shared" si="8"/>
        <v>-60.94961175297384</v>
      </c>
      <c r="J154" s="76">
        <f t="shared" si="9"/>
        <v>-105.96283557352675</v>
      </c>
      <c r="K154" s="93"/>
      <c r="L154" s="85"/>
    </row>
    <row r="155" spans="1:12" ht="13.5">
      <c r="A155" s="24"/>
      <c r="B155" s="76">
        <v>2500</v>
      </c>
      <c r="C155" s="76">
        <f t="shared" si="4"/>
        <v>-20.011871411466096</v>
      </c>
      <c r="D155" s="76">
        <f t="shared" si="5"/>
        <v>8.567462461756593</v>
      </c>
      <c r="E155" s="76">
        <f t="shared" si="6"/>
        <v>-11.444408949709503</v>
      </c>
      <c r="F155" s="76"/>
      <c r="G155" s="76">
        <v>2500</v>
      </c>
      <c r="H155" s="76">
        <f t="shared" si="7"/>
        <v>-34.43220256667099</v>
      </c>
      <c r="I155" s="76">
        <f t="shared" si="8"/>
        <v>-68.88339693387564</v>
      </c>
      <c r="J155" s="76">
        <f t="shared" si="9"/>
        <v>-103.31559950054663</v>
      </c>
      <c r="K155" s="93"/>
      <c r="L155" s="47"/>
    </row>
    <row r="156" spans="1:12" ht="13.5">
      <c r="A156" s="24"/>
      <c r="B156" s="76">
        <v>4000</v>
      </c>
      <c r="C156" s="76">
        <f t="shared" si="4"/>
        <v>-20.830803088669473</v>
      </c>
      <c r="D156" s="76">
        <f t="shared" si="5"/>
        <v>5.071763384558736</v>
      </c>
      <c r="E156" s="76">
        <f t="shared" si="6"/>
        <v>-15.759039704110737</v>
      </c>
      <c r="F156" s="76"/>
      <c r="G156" s="76">
        <v>4000</v>
      </c>
      <c r="H156" s="76">
        <f t="shared" si="7"/>
        <v>-25.949823146391005</v>
      </c>
      <c r="I156" s="76">
        <f t="shared" si="8"/>
        <v>-75.93555898625837</v>
      </c>
      <c r="J156" s="76">
        <f t="shared" si="9"/>
        <v>-101.88538213264937</v>
      </c>
      <c r="K156" s="93"/>
      <c r="L156" s="47"/>
    </row>
    <row r="157" spans="1:12" ht="13.5">
      <c r="A157" s="24"/>
      <c r="B157" s="76">
        <v>6300</v>
      </c>
      <c r="C157" s="76">
        <f t="shared" si="4"/>
        <v>-21.152153720998832</v>
      </c>
      <c r="D157" s="76">
        <f t="shared" si="5"/>
        <v>1.376497363330531</v>
      </c>
      <c r="E157" s="76">
        <f t="shared" si="6"/>
        <v>-19.7756563576683</v>
      </c>
      <c r="F157" s="76"/>
      <c r="G157" s="76">
        <v>6300</v>
      </c>
      <c r="H157" s="76">
        <f t="shared" si="7"/>
        <v>-21.53084387759193</v>
      </c>
      <c r="I157" s="76">
        <f t="shared" si="8"/>
        <v>-80.83139560287322</v>
      </c>
      <c r="J157" s="76">
        <f t="shared" si="9"/>
        <v>-102.36223948046515</v>
      </c>
      <c r="K157" s="93"/>
      <c r="L157" s="47"/>
    </row>
    <row r="158" spans="1:12" ht="13.5">
      <c r="A158" s="24"/>
      <c r="B158" s="76">
        <v>10000</v>
      </c>
      <c r="C158" s="76">
        <f t="shared" si="4"/>
        <v>-21.192005111272966</v>
      </c>
      <c r="D158" s="76">
        <f t="shared" si="5"/>
        <v>-2.5299240015998126</v>
      </c>
      <c r="E158" s="76">
        <f t="shared" si="6"/>
        <v>-23.72192911287278</v>
      </c>
      <c r="F158" s="76"/>
      <c r="G158" s="76">
        <v>10000</v>
      </c>
      <c r="H158" s="76">
        <f t="shared" si="7"/>
        <v>-21.041291107385334</v>
      </c>
      <c r="I158" s="76">
        <f t="shared" si="8"/>
        <v>-84.15915864697057</v>
      </c>
      <c r="J158" s="76">
        <f t="shared" si="9"/>
        <v>-105.2004497543559</v>
      </c>
      <c r="K158" s="93"/>
      <c r="L158" s="47"/>
    </row>
    <row r="159" spans="1:12" ht="13.5">
      <c r="A159" s="24"/>
      <c r="B159" s="76">
        <v>16000</v>
      </c>
      <c r="C159" s="76">
        <f t="shared" si="4"/>
        <v>-20.961639130425418</v>
      </c>
      <c r="D159" s="76">
        <f t="shared" si="5"/>
        <v>-6.56867412938178</v>
      </c>
      <c r="E159" s="76">
        <f t="shared" si="6"/>
        <v>-27.530313259807198</v>
      </c>
      <c r="F159" s="76"/>
      <c r="G159" s="76">
        <v>16000</v>
      </c>
      <c r="H159" s="76">
        <f t="shared" si="7"/>
        <v>-24.713877267404726</v>
      </c>
      <c r="I159" s="76">
        <f t="shared" si="8"/>
        <v>-86.33291327729277</v>
      </c>
      <c r="J159" s="76">
        <f t="shared" si="9"/>
        <v>-111.0467905446975</v>
      </c>
      <c r="K159" s="93"/>
      <c r="L159" s="47"/>
    </row>
    <row r="160" spans="1:12" ht="13.5">
      <c r="A160" s="24"/>
      <c r="B160" s="76">
        <v>25000</v>
      </c>
      <c r="C160" s="76">
        <f t="shared" si="4"/>
        <v>-20.357383049725595</v>
      </c>
      <c r="D160" s="76">
        <f t="shared" si="5"/>
        <v>-10.428427234430186</v>
      </c>
      <c r="E160" s="76">
        <f t="shared" si="6"/>
        <v>-30.78581028415578</v>
      </c>
      <c r="F160" s="76"/>
      <c r="G160" s="76">
        <v>25000</v>
      </c>
      <c r="H160" s="76">
        <f t="shared" si="7"/>
        <v>-32.099005429174994</v>
      </c>
      <c r="I160" s="76">
        <f t="shared" si="8"/>
        <v>-87.64901736950293</v>
      </c>
      <c r="J160" s="76">
        <f t="shared" si="9"/>
        <v>-119.74802279867792</v>
      </c>
      <c r="K160" s="93"/>
      <c r="L160" s="47"/>
    </row>
    <row r="161" spans="1:12" ht="13.5">
      <c r="A161" s="24"/>
      <c r="B161" s="76">
        <v>40000</v>
      </c>
      <c r="C161" s="76">
        <f t="shared" si="4"/>
        <v>-19.043872967622054</v>
      </c>
      <c r="D161" s="76">
        <f t="shared" si="5"/>
        <v>-14.503767627120292</v>
      </c>
      <c r="E161" s="76">
        <f t="shared" si="6"/>
        <v>-33.54764059474235</v>
      </c>
      <c r="F161" s="76"/>
      <c r="G161" s="76">
        <v>40000</v>
      </c>
      <c r="H161" s="76">
        <f t="shared" si="7"/>
        <v>-43.27690003604861</v>
      </c>
      <c r="I161" s="76">
        <f t="shared" si="8"/>
        <v>-88.52956275131551</v>
      </c>
      <c r="J161" s="76">
        <f t="shared" si="9"/>
        <v>-131.80646278736413</v>
      </c>
      <c r="K161" s="93"/>
      <c r="L161" s="47"/>
    </row>
    <row r="162" spans="1:12" ht="13.5">
      <c r="A162" s="24"/>
      <c r="B162" s="76">
        <v>63000</v>
      </c>
      <c r="C162" s="76">
        <f t="shared" si="4"/>
        <v>-16.90334674513569</v>
      </c>
      <c r="D162" s="76">
        <f t="shared" si="5"/>
        <v>-18.44667445997996</v>
      </c>
      <c r="E162" s="76">
        <f t="shared" si="6"/>
        <v>-35.35002120511565</v>
      </c>
      <c r="F162" s="76"/>
      <c r="G162" s="76">
        <v>63000</v>
      </c>
      <c r="H162" s="76">
        <f t="shared" si="7"/>
        <v>-55.33244507922973</v>
      </c>
      <c r="I162" s="76">
        <f t="shared" si="8"/>
        <v>-89.06612798542184</v>
      </c>
      <c r="J162" s="76">
        <f t="shared" si="9"/>
        <v>-144.39857306465157</v>
      </c>
      <c r="K162" s="93"/>
      <c r="L162" s="47"/>
    </row>
    <row r="163" spans="1:12" ht="13.5">
      <c r="A163" s="24"/>
      <c r="B163" s="76">
        <v>100000</v>
      </c>
      <c r="C163" s="76">
        <f t="shared" si="4"/>
        <v>-13.9118640442553</v>
      </c>
      <c r="D163" s="76">
        <f t="shared" si="5"/>
        <v>-22.458761386678987</v>
      </c>
      <c r="E163" s="76">
        <f t="shared" si="6"/>
        <v>-36.37062543093428</v>
      </c>
      <c r="F163" s="76"/>
      <c r="G163" s="76">
        <v>100000</v>
      </c>
      <c r="H163" s="76">
        <f t="shared" si="7"/>
        <v>-66.24489523388102</v>
      </c>
      <c r="I163" s="76">
        <f t="shared" si="8"/>
        <v>-89.41159360013822</v>
      </c>
      <c r="J163" s="76">
        <f t="shared" si="9"/>
        <v>-155.65648883401923</v>
      </c>
      <c r="K163" s="93"/>
      <c r="L163" s="47"/>
    </row>
    <row r="164" spans="1:12" ht="13.5">
      <c r="A164" s="24"/>
      <c r="B164" s="76"/>
      <c r="C164" s="76"/>
      <c r="D164" s="76"/>
      <c r="E164" s="76"/>
      <c r="F164" s="76"/>
      <c r="G164" s="76"/>
      <c r="H164" s="76"/>
      <c r="I164" s="76"/>
      <c r="J164" s="76"/>
      <c r="K164" s="93"/>
      <c r="L164" s="47"/>
    </row>
    <row r="165" spans="1:12" ht="13.5">
      <c r="A165" s="2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3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47"/>
      <c r="L166" s="47"/>
    </row>
    <row r="167" spans="1:12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47"/>
      <c r="L167" s="47"/>
    </row>
    <row r="168" spans="1:12" ht="13.5">
      <c r="A168" s="24"/>
      <c r="B168" s="24"/>
      <c r="C168" s="24"/>
      <c r="D168" s="24"/>
      <c r="E168" s="24"/>
      <c r="F168" s="24"/>
      <c r="G168" s="47"/>
      <c r="H168" s="47"/>
      <c r="I168" s="47"/>
      <c r="J168" s="47"/>
      <c r="K168" s="47"/>
      <c r="L168" s="24"/>
    </row>
    <row r="169" spans="1:12" ht="13.5">
      <c r="A169" s="39"/>
      <c r="B169" s="24"/>
      <c r="C169" s="24"/>
      <c r="D169" s="24"/>
      <c r="E169" s="24"/>
      <c r="F169" s="39"/>
      <c r="G169" s="39"/>
      <c r="H169" s="39"/>
      <c r="I169" s="39"/>
      <c r="J169" s="39"/>
      <c r="K169" s="24"/>
      <c r="L169" s="24"/>
    </row>
    <row r="170" spans="1:12" ht="13.5">
      <c r="A170" s="63"/>
      <c r="B170" s="24"/>
      <c r="C170" s="24"/>
      <c r="D170" s="24"/>
      <c r="E170" s="24"/>
      <c r="F170" s="63"/>
      <c r="G170" s="63"/>
      <c r="H170" s="63"/>
      <c r="I170" s="63"/>
      <c r="J170" s="76"/>
      <c r="K170" s="24"/>
      <c r="L170" s="24"/>
    </row>
    <row r="171" spans="1:12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3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3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3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3.5">
      <c r="A198" s="7"/>
      <c r="B198" s="1"/>
      <c r="C198" s="1"/>
      <c r="D198" s="14"/>
      <c r="E198" s="7"/>
      <c r="F198" s="7"/>
      <c r="G198" s="7"/>
      <c r="H198" s="7"/>
      <c r="I198" s="7"/>
    </row>
    <row r="199" spans="1:9" ht="13.5">
      <c r="A199" s="7"/>
      <c r="B199" s="1"/>
      <c r="C199" s="1"/>
      <c r="D199" s="14"/>
      <c r="E199" s="7"/>
      <c r="F199" s="7"/>
      <c r="G199" s="7"/>
      <c r="H199" s="7"/>
      <c r="I199" s="7"/>
    </row>
    <row r="200" spans="1:9" ht="13.5">
      <c r="A200" s="7"/>
      <c r="B200" s="1"/>
      <c r="C200" s="1"/>
      <c r="D200" s="14"/>
      <c r="E200" s="7"/>
      <c r="F200" s="7"/>
      <c r="G200" s="7"/>
      <c r="H200" s="7"/>
      <c r="I200" s="7"/>
    </row>
    <row r="201" spans="1:9" ht="13.5">
      <c r="A201" s="7"/>
      <c r="B201" s="1"/>
      <c r="C201" s="1"/>
      <c r="D201" s="14"/>
      <c r="E201" s="7"/>
      <c r="F201" s="7"/>
      <c r="G201" s="7"/>
      <c r="H201" s="7"/>
      <c r="I201" s="7"/>
    </row>
    <row r="202" spans="1:9" ht="13.5">
      <c r="A202" s="7"/>
      <c r="B202" s="1"/>
      <c r="C202" s="1"/>
      <c r="D202" s="14"/>
      <c r="E202" s="7"/>
      <c r="F202" s="7"/>
      <c r="G202" s="7"/>
      <c r="H202" s="7"/>
      <c r="I202" s="7"/>
    </row>
    <row r="203" spans="1:9" ht="13.5">
      <c r="A203" s="7"/>
      <c r="B203" s="1"/>
      <c r="C203" s="1"/>
      <c r="D203" s="14"/>
      <c r="E203" s="7"/>
      <c r="F203" s="7"/>
      <c r="G203" s="7"/>
      <c r="H203" s="7"/>
      <c r="I203" s="7"/>
    </row>
    <row r="204" spans="1:9" ht="13.5">
      <c r="A204" s="7"/>
      <c r="B204" s="1"/>
      <c r="C204" s="1"/>
      <c r="D204" s="14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15"/>
      <c r="C206" s="16"/>
      <c r="D206" s="17"/>
      <c r="E206" s="7"/>
      <c r="F206" s="7"/>
      <c r="G206" s="7"/>
      <c r="H206" s="7"/>
      <c r="I206" s="7"/>
    </row>
    <row r="207" spans="1:9" ht="13.5">
      <c r="A207" s="7"/>
      <c r="B207" s="15"/>
      <c r="C207" s="15"/>
      <c r="D207" s="17"/>
      <c r="E207" s="7"/>
      <c r="F207" s="7"/>
      <c r="G207" s="7"/>
      <c r="H207" s="7"/>
      <c r="I207" s="7"/>
    </row>
    <row r="208" spans="1:9" ht="13.5">
      <c r="A208" s="7"/>
      <c r="B208" s="15"/>
      <c r="C208" s="15"/>
      <c r="D208" s="1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10" ht="13.5">
      <c r="A210" s="7"/>
      <c r="B210" s="14"/>
      <c r="C210" s="14"/>
      <c r="D210" s="14"/>
      <c r="E210" s="14"/>
      <c r="F210" s="14"/>
      <c r="G210" s="14"/>
      <c r="H210" s="14"/>
      <c r="I210" s="14"/>
      <c r="J210" s="5"/>
    </row>
    <row r="211" spans="1:10" ht="13.5">
      <c r="A211" s="11"/>
      <c r="B211" s="11"/>
      <c r="C211" s="11"/>
      <c r="D211" s="11"/>
      <c r="E211" s="11"/>
      <c r="F211" s="11"/>
      <c r="G211" s="11"/>
      <c r="H211" s="11"/>
      <c r="I211" s="11"/>
      <c r="J211" s="5"/>
    </row>
    <row r="212" spans="1:10" ht="13.5">
      <c r="A212" s="11"/>
      <c r="B212" s="11"/>
      <c r="C212" s="11"/>
      <c r="D212" s="11"/>
      <c r="E212" s="11"/>
      <c r="F212" s="11"/>
      <c r="G212" s="11"/>
      <c r="H212" s="11"/>
      <c r="I212" s="11"/>
      <c r="J212" s="5"/>
    </row>
    <row r="213" spans="1:10" ht="13.5">
      <c r="A213" s="13"/>
      <c r="B213" s="13"/>
      <c r="C213" s="13"/>
      <c r="D213" s="11"/>
      <c r="E213" s="13"/>
      <c r="F213" s="13"/>
      <c r="G213" s="13"/>
      <c r="H213" s="13"/>
      <c r="I213" s="11"/>
      <c r="J213" s="5"/>
    </row>
    <row r="214" spans="1:10" ht="13.5">
      <c r="A214" s="13"/>
      <c r="B214" s="13"/>
      <c r="C214" s="13"/>
      <c r="D214" s="11"/>
      <c r="E214" s="13"/>
      <c r="F214" s="13"/>
      <c r="G214" s="13"/>
      <c r="H214" s="13"/>
      <c r="I214" s="11"/>
      <c r="J214" s="5"/>
    </row>
    <row r="215" spans="1:10" ht="13.5">
      <c r="A215" s="13"/>
      <c r="B215" s="13"/>
      <c r="C215" s="13"/>
      <c r="D215" s="11"/>
      <c r="E215" s="13"/>
      <c r="F215" s="13"/>
      <c r="G215" s="13"/>
      <c r="H215" s="13"/>
      <c r="I215" s="11"/>
      <c r="J215" s="5"/>
    </row>
    <row r="216" spans="1:10" ht="13.5">
      <c r="A216" s="13"/>
      <c r="B216" s="13"/>
      <c r="C216" s="13"/>
      <c r="D216" s="11"/>
      <c r="E216" s="13"/>
      <c r="F216" s="13"/>
      <c r="G216" s="13"/>
      <c r="H216" s="13"/>
      <c r="I216" s="11"/>
      <c r="J216" s="5"/>
    </row>
    <row r="217" spans="1:10" ht="13.5">
      <c r="A217" s="13"/>
      <c r="B217" s="13"/>
      <c r="C217" s="13"/>
      <c r="D217" s="11"/>
      <c r="E217" s="13"/>
      <c r="F217" s="13"/>
      <c r="G217" s="13"/>
      <c r="H217" s="13"/>
      <c r="I217" s="11"/>
      <c r="J217" s="5"/>
    </row>
    <row r="218" spans="1:10" ht="13.5">
      <c r="A218" s="13"/>
      <c r="B218" s="13"/>
      <c r="C218" s="13"/>
      <c r="D218" s="11"/>
      <c r="E218" s="13"/>
      <c r="F218" s="13"/>
      <c r="G218" s="13"/>
      <c r="H218" s="13"/>
      <c r="I218" s="11"/>
      <c r="J218" s="5"/>
    </row>
    <row r="219" spans="1:10" ht="13.5">
      <c r="A219" s="13"/>
      <c r="B219" s="13"/>
      <c r="C219" s="13"/>
      <c r="D219" s="11"/>
      <c r="E219" s="13"/>
      <c r="F219" s="13"/>
      <c r="G219" s="13"/>
      <c r="H219" s="13"/>
      <c r="I219" s="11"/>
      <c r="J219" s="5"/>
    </row>
    <row r="220" spans="1:10" ht="13.5">
      <c r="A220" s="13"/>
      <c r="B220" s="13"/>
      <c r="C220" s="13"/>
      <c r="D220" s="11"/>
      <c r="E220" s="13"/>
      <c r="F220" s="13"/>
      <c r="G220" s="13"/>
      <c r="H220" s="13"/>
      <c r="I220" s="11"/>
      <c r="J220" s="5"/>
    </row>
    <row r="221" spans="1:10" ht="13.5">
      <c r="A221" s="13"/>
      <c r="B221" s="13"/>
      <c r="C221" s="13"/>
      <c r="D221" s="11"/>
      <c r="E221" s="13"/>
      <c r="F221" s="13"/>
      <c r="G221" s="13"/>
      <c r="H221" s="13"/>
      <c r="I221" s="11"/>
      <c r="J221" s="5"/>
    </row>
    <row r="222" spans="1:10" ht="13.5">
      <c r="A222" s="13"/>
      <c r="B222" s="13"/>
      <c r="C222" s="13"/>
      <c r="D222" s="11"/>
      <c r="E222" s="13"/>
      <c r="F222" s="13"/>
      <c r="G222" s="13"/>
      <c r="H222" s="13"/>
      <c r="I222" s="11"/>
      <c r="J222" s="5"/>
    </row>
    <row r="223" spans="1:10" ht="13.5">
      <c r="A223" s="13"/>
      <c r="B223" s="13"/>
      <c r="C223" s="13"/>
      <c r="D223" s="11"/>
      <c r="E223" s="13"/>
      <c r="F223" s="13"/>
      <c r="G223" s="13"/>
      <c r="H223" s="13"/>
      <c r="I223" s="11"/>
      <c r="J223" s="5"/>
    </row>
    <row r="224" spans="1:10" ht="13.5">
      <c r="A224" s="13"/>
      <c r="B224" s="13"/>
      <c r="C224" s="13"/>
      <c r="D224" s="11"/>
      <c r="E224" s="13"/>
      <c r="F224" s="13"/>
      <c r="G224" s="13"/>
      <c r="H224" s="13"/>
      <c r="I224" s="11"/>
      <c r="J224" s="5"/>
    </row>
    <row r="225" spans="1:10" ht="13.5">
      <c r="A225" s="13"/>
      <c r="B225" s="13"/>
      <c r="C225" s="13"/>
      <c r="D225" s="11"/>
      <c r="E225" s="13"/>
      <c r="F225" s="13"/>
      <c r="G225" s="13"/>
      <c r="H225" s="13"/>
      <c r="I225" s="11"/>
      <c r="J225" s="5"/>
    </row>
    <row r="226" spans="1:10" ht="13.5">
      <c r="A226" s="13"/>
      <c r="B226" s="13"/>
      <c r="C226" s="13"/>
      <c r="D226" s="11"/>
      <c r="E226" s="13"/>
      <c r="F226" s="13"/>
      <c r="G226" s="13"/>
      <c r="H226" s="13"/>
      <c r="I226" s="11"/>
      <c r="J226" s="5"/>
    </row>
    <row r="227" spans="1:10" ht="13.5">
      <c r="A227" s="13"/>
      <c r="B227" s="13"/>
      <c r="C227" s="13"/>
      <c r="D227" s="11"/>
      <c r="E227" s="13"/>
      <c r="F227" s="13"/>
      <c r="G227" s="13"/>
      <c r="H227" s="13"/>
      <c r="I227" s="11"/>
      <c r="J227" s="5"/>
    </row>
    <row r="228" spans="1:10" ht="13.5">
      <c r="A228" s="13"/>
      <c r="B228" s="13"/>
      <c r="C228" s="13"/>
      <c r="D228" s="11"/>
      <c r="E228" s="13"/>
      <c r="F228" s="13"/>
      <c r="G228" s="13"/>
      <c r="H228" s="13"/>
      <c r="I228" s="11"/>
      <c r="J228" s="5"/>
    </row>
    <row r="229" spans="1:10" ht="13.5">
      <c r="A229" s="13"/>
      <c r="B229" s="13"/>
      <c r="C229" s="13"/>
      <c r="D229" s="11"/>
      <c r="E229" s="13"/>
      <c r="F229" s="13"/>
      <c r="G229" s="13"/>
      <c r="H229" s="13"/>
      <c r="I229" s="11"/>
      <c r="J229" s="5"/>
    </row>
    <row r="230" spans="1:10" ht="13.5">
      <c r="A230" s="13"/>
      <c r="B230" s="13"/>
      <c r="C230" s="13"/>
      <c r="D230" s="11"/>
      <c r="E230" s="13"/>
      <c r="F230" s="13"/>
      <c r="G230" s="13"/>
      <c r="H230" s="13"/>
      <c r="I230" s="11"/>
      <c r="J230" s="5"/>
    </row>
    <row r="231" spans="1:10" ht="13.5">
      <c r="A231" s="13"/>
      <c r="B231" s="13"/>
      <c r="C231" s="13"/>
      <c r="D231" s="11"/>
      <c r="E231" s="13"/>
      <c r="F231" s="13"/>
      <c r="G231" s="13"/>
      <c r="H231" s="13"/>
      <c r="I231" s="11"/>
      <c r="J231" s="5"/>
    </row>
    <row r="232" spans="1:10" ht="13.5">
      <c r="A232" s="13"/>
      <c r="B232" s="13"/>
      <c r="C232" s="13"/>
      <c r="D232" s="11"/>
      <c r="E232" s="13"/>
      <c r="F232" s="13"/>
      <c r="G232" s="13"/>
      <c r="H232" s="13"/>
      <c r="I232" s="11"/>
      <c r="J232" s="5"/>
    </row>
    <row r="233" spans="1:10" ht="13.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3.5">
      <c r="B234" s="5"/>
      <c r="C234" s="5"/>
      <c r="D234" s="5"/>
      <c r="E234" s="5"/>
      <c r="F234" s="5"/>
      <c r="G234" s="5"/>
      <c r="H234" s="5"/>
      <c r="I234" s="5"/>
      <c r="J234" s="5"/>
    </row>
    <row r="235" spans="3:9" ht="13.5">
      <c r="C235" s="5"/>
      <c r="D235" s="5"/>
      <c r="E235" s="5"/>
      <c r="F235" s="5"/>
      <c r="G235" s="5"/>
      <c r="H235" s="5"/>
      <c r="I235" s="5"/>
    </row>
    <row r="236" spans="3:9" ht="13.5">
      <c r="C236" s="5"/>
      <c r="D236" s="5"/>
      <c r="E236" s="5"/>
      <c r="F236" s="5"/>
      <c r="G236" s="5"/>
      <c r="H236" s="5"/>
      <c r="I236" s="5"/>
    </row>
    <row r="237" spans="3:9" ht="13.5">
      <c r="C237" s="5"/>
      <c r="D237" s="5"/>
      <c r="E237" s="5"/>
      <c r="F237" s="5"/>
      <c r="G237" s="5"/>
      <c r="H237" s="14"/>
      <c r="I237" s="5"/>
    </row>
    <row r="238" spans="3:9" ht="13.5">
      <c r="C238" s="5"/>
      <c r="D238" s="18"/>
      <c r="E238" s="18"/>
      <c r="F238" s="18"/>
      <c r="G238" s="18"/>
      <c r="H238" s="14"/>
      <c r="I238" s="5"/>
    </row>
    <row r="239" spans="3:9" ht="13.5">
      <c r="C239" s="5"/>
      <c r="D239" s="5"/>
      <c r="E239" s="5"/>
      <c r="F239" s="5"/>
      <c r="G239" s="5"/>
      <c r="H239" s="5"/>
      <c r="I239" s="5"/>
    </row>
    <row r="240" spans="3:9" ht="13.5">
      <c r="C240" s="5"/>
      <c r="D240" s="5"/>
      <c r="E240" s="5"/>
      <c r="F240" s="5"/>
      <c r="G240" s="5"/>
      <c r="H240" s="5"/>
      <c r="I240" s="5"/>
    </row>
    <row r="241" spans="3:9" ht="13.5">
      <c r="C241" s="5"/>
      <c r="D241" s="5"/>
      <c r="E241" s="5"/>
      <c r="F241" s="5"/>
      <c r="G241" s="5"/>
      <c r="H241" s="5"/>
      <c r="I241" s="5"/>
    </row>
  </sheetData>
  <sheetProtection password="DC77" sheet="1" objects="1" scenarios="1" selectLockedCells="1"/>
  <mergeCells count="15">
    <mergeCell ref="G141:H141"/>
    <mergeCell ref="G139:H139"/>
    <mergeCell ref="C104:D105"/>
    <mergeCell ref="E104:F105"/>
    <mergeCell ref="G129:H129"/>
    <mergeCell ref="G104:H105"/>
    <mergeCell ref="G127:H127"/>
    <mergeCell ref="G128:H128"/>
    <mergeCell ref="C1:H2"/>
    <mergeCell ref="I104:J105"/>
    <mergeCell ref="G140:H140"/>
    <mergeCell ref="F51:G51"/>
    <mergeCell ref="F57:G57"/>
    <mergeCell ref="F58:G58"/>
    <mergeCell ref="E119:K119"/>
  </mergeCells>
  <conditionalFormatting sqref="A12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1657495" r:id="rId3"/>
    <oleObject progId="Visio.Drawing.6" shapeId="14893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14" sqref="K14"/>
    </sheetView>
  </sheetViews>
  <sheetFormatPr defaultColWidth="8.88671875" defaultRowHeight="13.5"/>
  <sheetData>
    <row r="1" spans="1:16" ht="14.25">
      <c r="A1" s="94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6"/>
    </row>
    <row r="2" spans="1:16" ht="14.25">
      <c r="A2" s="97" t="s">
        <v>128</v>
      </c>
      <c r="B2" s="175" t="s">
        <v>129</v>
      </c>
      <c r="C2" s="176"/>
      <c r="D2" s="176"/>
      <c r="E2" s="176"/>
      <c r="F2" s="176"/>
      <c r="G2" s="100" t="s">
        <v>130</v>
      </c>
      <c r="H2" s="99" t="s">
        <v>131</v>
      </c>
      <c r="I2" s="97" t="s">
        <v>132</v>
      </c>
      <c r="J2" s="94"/>
      <c r="K2" s="94"/>
      <c r="L2" s="94"/>
      <c r="M2" s="94"/>
      <c r="N2" s="94"/>
      <c r="O2" s="94"/>
      <c r="P2" s="96"/>
    </row>
    <row r="3" spans="1:16" ht="14.25">
      <c r="A3" s="101"/>
      <c r="B3" s="102" t="s">
        <v>133</v>
      </c>
      <c r="C3" s="103" t="s">
        <v>134</v>
      </c>
      <c r="D3" s="104" t="s">
        <v>135</v>
      </c>
      <c r="E3" s="103" t="s">
        <v>136</v>
      </c>
      <c r="F3" s="104" t="s">
        <v>137</v>
      </c>
      <c r="G3" s="105" t="s">
        <v>138</v>
      </c>
      <c r="H3" s="106" t="s">
        <v>139</v>
      </c>
      <c r="I3" s="101" t="s">
        <v>140</v>
      </c>
      <c r="J3" s="94"/>
      <c r="K3" s="94"/>
      <c r="L3" s="94"/>
      <c r="M3" s="94"/>
      <c r="N3" s="94"/>
      <c r="O3" s="94"/>
      <c r="P3" s="96"/>
    </row>
    <row r="4" spans="1:16" ht="14.25">
      <c r="A4" s="107" t="s">
        <v>141</v>
      </c>
      <c r="B4" s="108" t="s">
        <v>142</v>
      </c>
      <c r="C4" s="109" t="s">
        <v>143</v>
      </c>
      <c r="D4" s="108" t="s">
        <v>144</v>
      </c>
      <c r="E4" s="109" t="s">
        <v>145</v>
      </c>
      <c r="F4" s="110" t="s">
        <v>146</v>
      </c>
      <c r="G4" s="111">
        <v>14.4</v>
      </c>
      <c r="H4" s="108">
        <v>21.3</v>
      </c>
      <c r="I4" s="109">
        <v>1.9</v>
      </c>
      <c r="J4" s="94"/>
      <c r="K4" s="94"/>
      <c r="L4" s="94"/>
      <c r="M4" s="94"/>
      <c r="N4" s="94"/>
      <c r="O4" s="94"/>
      <c r="P4" s="96"/>
    </row>
    <row r="5" spans="1:16" ht="14.25">
      <c r="A5" s="112" t="s">
        <v>147</v>
      </c>
      <c r="B5" s="113" t="s">
        <v>148</v>
      </c>
      <c r="C5" s="114" t="s">
        <v>149</v>
      </c>
      <c r="D5" s="113" t="s">
        <v>150</v>
      </c>
      <c r="E5" s="114" t="s">
        <v>151</v>
      </c>
      <c r="F5" s="115" t="s">
        <v>152</v>
      </c>
      <c r="G5" s="116">
        <v>19.8</v>
      </c>
      <c r="H5" s="113">
        <v>34.6</v>
      </c>
      <c r="I5" s="114">
        <v>3.3</v>
      </c>
      <c r="J5" s="94"/>
      <c r="K5" s="94"/>
      <c r="L5" s="94"/>
      <c r="M5" s="94"/>
      <c r="N5" s="94"/>
      <c r="O5" s="94"/>
      <c r="P5" s="96"/>
    </row>
    <row r="6" spans="1:16" ht="14.25">
      <c r="A6" s="112" t="s">
        <v>153</v>
      </c>
      <c r="B6" s="113" t="s">
        <v>154</v>
      </c>
      <c r="C6" s="114" t="s">
        <v>155</v>
      </c>
      <c r="D6" s="113" t="s">
        <v>156</v>
      </c>
      <c r="E6" s="114" t="s">
        <v>157</v>
      </c>
      <c r="F6" s="115" t="s">
        <v>158</v>
      </c>
      <c r="G6" s="116">
        <v>24</v>
      </c>
      <c r="H6" s="113">
        <v>39.6</v>
      </c>
      <c r="I6" s="114">
        <v>5.1</v>
      </c>
      <c r="J6" s="94"/>
      <c r="K6" s="94"/>
      <c r="L6" s="94"/>
      <c r="M6" s="94"/>
      <c r="N6" s="94"/>
      <c r="O6" s="94"/>
      <c r="P6" s="96"/>
    </row>
    <row r="7" spans="1:16" ht="14.25">
      <c r="A7" s="112" t="s">
        <v>159</v>
      </c>
      <c r="B7" s="113" t="s">
        <v>160</v>
      </c>
      <c r="C7" s="114" t="s">
        <v>161</v>
      </c>
      <c r="D7" s="113" t="s">
        <v>162</v>
      </c>
      <c r="E7" s="114" t="s">
        <v>162</v>
      </c>
      <c r="F7" s="115" t="s">
        <v>163</v>
      </c>
      <c r="G7" s="116">
        <v>42</v>
      </c>
      <c r="H7" s="113">
        <v>39.3</v>
      </c>
      <c r="I7" s="114">
        <v>9.8</v>
      </c>
      <c r="J7" s="94"/>
      <c r="K7" s="94"/>
      <c r="L7" s="94"/>
      <c r="M7" s="94"/>
      <c r="N7" s="94"/>
      <c r="O7" s="94"/>
      <c r="P7" s="96"/>
    </row>
    <row r="8" spans="1:16" ht="14.25">
      <c r="A8" s="112" t="s">
        <v>164</v>
      </c>
      <c r="B8" s="113" t="s">
        <v>165</v>
      </c>
      <c r="C8" s="114" t="s">
        <v>166</v>
      </c>
      <c r="D8" s="113" t="s">
        <v>162</v>
      </c>
      <c r="E8" s="114" t="s">
        <v>162</v>
      </c>
      <c r="F8" s="115" t="s">
        <v>151</v>
      </c>
      <c r="G8" s="116">
        <v>37</v>
      </c>
      <c r="H8" s="113">
        <v>41.8</v>
      </c>
      <c r="I8" s="114">
        <v>8.5</v>
      </c>
      <c r="J8" s="94"/>
      <c r="K8" s="94"/>
      <c r="L8" s="94"/>
      <c r="M8" s="94"/>
      <c r="N8" s="94"/>
      <c r="O8" s="94"/>
      <c r="P8" s="96"/>
    </row>
    <row r="9" spans="1:16" ht="14.25">
      <c r="A9" s="112" t="s">
        <v>167</v>
      </c>
      <c r="B9" s="113" t="s">
        <v>168</v>
      </c>
      <c r="C9" s="114" t="s">
        <v>169</v>
      </c>
      <c r="D9" s="113" t="s">
        <v>170</v>
      </c>
      <c r="E9" s="114" t="s">
        <v>171</v>
      </c>
      <c r="F9" s="115" t="s">
        <v>172</v>
      </c>
      <c r="G9" s="116">
        <v>41</v>
      </c>
      <c r="H9" s="113">
        <v>47</v>
      </c>
      <c r="I9" s="114">
        <v>9.8</v>
      </c>
      <c r="J9" s="94"/>
      <c r="K9" s="94"/>
      <c r="L9" s="94"/>
      <c r="M9" s="94"/>
      <c r="N9" s="94"/>
      <c r="O9" s="94"/>
      <c r="P9" s="96"/>
    </row>
    <row r="10" spans="1:16" ht="14.25">
      <c r="A10" s="112" t="s">
        <v>173</v>
      </c>
      <c r="B10" s="113" t="s">
        <v>174</v>
      </c>
      <c r="C10" s="114" t="s">
        <v>175</v>
      </c>
      <c r="D10" s="113" t="s">
        <v>176</v>
      </c>
      <c r="E10" s="114" t="s">
        <v>177</v>
      </c>
      <c r="F10" s="115" t="s">
        <v>178</v>
      </c>
      <c r="G10" s="116">
        <v>86</v>
      </c>
      <c r="H10" s="113">
        <v>48.2</v>
      </c>
      <c r="I10" s="114">
        <v>22</v>
      </c>
      <c r="J10" s="94"/>
      <c r="K10" s="94"/>
      <c r="L10" s="94"/>
      <c r="M10" s="94"/>
      <c r="N10" s="94"/>
      <c r="O10" s="94"/>
      <c r="P10" s="96"/>
    </row>
    <row r="11" spans="1:16" ht="14.25">
      <c r="A11" s="112" t="s">
        <v>179</v>
      </c>
      <c r="B11" s="113" t="s">
        <v>180</v>
      </c>
      <c r="C11" s="114" t="s">
        <v>181</v>
      </c>
      <c r="D11" s="113" t="s">
        <v>182</v>
      </c>
      <c r="E11" s="114" t="s">
        <v>182</v>
      </c>
      <c r="F11" s="115" t="s">
        <v>183</v>
      </c>
      <c r="G11" s="116">
        <v>111</v>
      </c>
      <c r="H11" s="113">
        <v>58</v>
      </c>
      <c r="I11" s="114">
        <v>34</v>
      </c>
      <c r="J11" s="94"/>
      <c r="K11" s="94"/>
      <c r="L11" s="94"/>
      <c r="M11" s="94"/>
      <c r="N11" s="94"/>
      <c r="O11" s="94"/>
      <c r="P11" s="96"/>
    </row>
    <row r="12" spans="1:16" ht="14.25">
      <c r="A12" s="112" t="s">
        <v>184</v>
      </c>
      <c r="B12" s="113" t="s">
        <v>185</v>
      </c>
      <c r="C12" s="114" t="s">
        <v>186</v>
      </c>
      <c r="D12" s="113" t="s">
        <v>187</v>
      </c>
      <c r="E12" s="114" t="s">
        <v>188</v>
      </c>
      <c r="F12" s="115" t="s">
        <v>189</v>
      </c>
      <c r="G12" s="116">
        <v>118.5</v>
      </c>
      <c r="H12" s="113">
        <v>67.5</v>
      </c>
      <c r="I12" s="114">
        <v>41</v>
      </c>
      <c r="J12" s="94"/>
      <c r="K12" s="94"/>
      <c r="L12" s="94"/>
      <c r="M12" s="94"/>
      <c r="N12" s="94"/>
      <c r="O12" s="94"/>
      <c r="P12" s="96"/>
    </row>
    <row r="13" spans="1:16" ht="14.25">
      <c r="A13" s="112" t="s">
        <v>190</v>
      </c>
      <c r="B13" s="113" t="s">
        <v>191</v>
      </c>
      <c r="C13" s="114" t="s">
        <v>192</v>
      </c>
      <c r="D13" s="113" t="s">
        <v>193</v>
      </c>
      <c r="E13" s="114" t="s">
        <v>193</v>
      </c>
      <c r="F13" s="115" t="s">
        <v>194</v>
      </c>
      <c r="G13" s="116">
        <v>101.4</v>
      </c>
      <c r="H13" s="113">
        <v>67.1</v>
      </c>
      <c r="I13" s="114">
        <v>36</v>
      </c>
      <c r="J13" s="94"/>
      <c r="K13" s="94"/>
      <c r="L13" s="94"/>
      <c r="M13" s="94"/>
      <c r="N13" s="94"/>
      <c r="O13" s="94"/>
      <c r="P13" s="96"/>
    </row>
    <row r="14" spans="1:16" ht="14.25">
      <c r="A14" s="112" t="s">
        <v>195</v>
      </c>
      <c r="B14" s="113" t="s">
        <v>196</v>
      </c>
      <c r="C14" s="114" t="s">
        <v>197</v>
      </c>
      <c r="D14" s="113" t="s">
        <v>198</v>
      </c>
      <c r="E14" s="114" t="s">
        <v>198</v>
      </c>
      <c r="F14" s="115" t="s">
        <v>199</v>
      </c>
      <c r="G14" s="116">
        <v>148</v>
      </c>
      <c r="H14" s="113">
        <v>77</v>
      </c>
      <c r="I14" s="114">
        <v>60</v>
      </c>
      <c r="J14" s="94"/>
      <c r="K14" s="94"/>
      <c r="L14" s="94"/>
      <c r="M14" s="94"/>
      <c r="N14" s="94"/>
      <c r="O14" s="94"/>
      <c r="P14" s="96"/>
    </row>
    <row r="15" spans="1:16" ht="14.25">
      <c r="A15" s="112" t="s">
        <v>200</v>
      </c>
      <c r="B15" s="113" t="s">
        <v>201</v>
      </c>
      <c r="C15" s="114" t="s">
        <v>202</v>
      </c>
      <c r="D15" s="113" t="s">
        <v>203</v>
      </c>
      <c r="E15" s="114" t="s">
        <v>203</v>
      </c>
      <c r="F15" s="115" t="s">
        <v>204</v>
      </c>
      <c r="G15" s="116">
        <v>230</v>
      </c>
      <c r="H15" s="113">
        <v>94</v>
      </c>
      <c r="I15" s="114">
        <v>115</v>
      </c>
      <c r="J15" s="94"/>
      <c r="K15" s="94"/>
      <c r="L15" s="94"/>
      <c r="M15" s="94"/>
      <c r="N15" s="94"/>
      <c r="O15" s="94"/>
      <c r="P15" s="96"/>
    </row>
    <row r="16" spans="1:16" ht="14.25">
      <c r="A16" s="117" t="s">
        <v>205</v>
      </c>
      <c r="B16" s="118" t="s">
        <v>206</v>
      </c>
      <c r="C16" s="119" t="s">
        <v>207</v>
      </c>
      <c r="D16" s="118" t="s">
        <v>208</v>
      </c>
      <c r="E16" s="119" t="s">
        <v>208</v>
      </c>
      <c r="F16" s="120" t="s">
        <v>209</v>
      </c>
      <c r="G16" s="121">
        <v>247</v>
      </c>
      <c r="H16" s="118">
        <v>109</v>
      </c>
      <c r="I16" s="119">
        <v>139</v>
      </c>
      <c r="J16" s="94"/>
      <c r="K16" s="94"/>
      <c r="L16" s="94"/>
      <c r="M16" s="94"/>
      <c r="N16" s="94"/>
      <c r="O16" s="94"/>
      <c r="P16" s="96"/>
    </row>
    <row r="17" spans="1:16" ht="14.25">
      <c r="A17" s="94"/>
      <c r="B17" s="94"/>
      <c r="C17" s="94"/>
      <c r="D17" s="94"/>
      <c r="E17" s="94"/>
      <c r="F17" s="94"/>
      <c r="G17" s="95"/>
      <c r="H17" s="94"/>
      <c r="I17" s="94"/>
      <c r="J17" s="94"/>
      <c r="K17" s="94"/>
      <c r="L17" s="94"/>
      <c r="M17" s="94"/>
      <c r="N17" s="94"/>
      <c r="O17" s="94"/>
      <c r="P17" s="96"/>
    </row>
    <row r="18" spans="1:16" ht="14.25">
      <c r="A18" s="97" t="s">
        <v>128</v>
      </c>
      <c r="B18" s="97" t="s">
        <v>210</v>
      </c>
      <c r="C18" s="177" t="s">
        <v>211</v>
      </c>
      <c r="D18" s="178"/>
      <c r="E18" s="178"/>
      <c r="F18" s="179"/>
      <c r="G18" s="100" t="s">
        <v>130</v>
      </c>
      <c r="H18" s="99" t="s">
        <v>131</v>
      </c>
      <c r="I18" s="97" t="s">
        <v>212</v>
      </c>
      <c r="J18" s="94"/>
      <c r="K18" s="94"/>
      <c r="L18" s="94"/>
      <c r="M18" s="94"/>
      <c r="N18" s="94"/>
      <c r="O18" s="94"/>
      <c r="P18" s="96"/>
    </row>
    <row r="19" spans="1:16" ht="14.25">
      <c r="A19" s="122"/>
      <c r="B19" s="122"/>
      <c r="C19" s="123" t="s">
        <v>133</v>
      </c>
      <c r="D19" s="99" t="s">
        <v>134</v>
      </c>
      <c r="E19" s="97" t="s">
        <v>135</v>
      </c>
      <c r="F19" s="99" t="s">
        <v>213</v>
      </c>
      <c r="G19" s="105" t="s">
        <v>138</v>
      </c>
      <c r="H19" s="106" t="s">
        <v>139</v>
      </c>
      <c r="I19" s="101" t="s">
        <v>140</v>
      </c>
      <c r="J19" s="94"/>
      <c r="K19" s="94"/>
      <c r="L19" s="94"/>
      <c r="M19" s="94"/>
      <c r="N19" s="94"/>
      <c r="O19" s="94"/>
      <c r="P19" s="96"/>
    </row>
    <row r="20" spans="1:16" ht="14.25">
      <c r="A20" s="107" t="s">
        <v>214</v>
      </c>
      <c r="B20" s="109">
        <v>1</v>
      </c>
      <c r="C20" s="124" t="s">
        <v>215</v>
      </c>
      <c r="D20" s="108" t="s">
        <v>216</v>
      </c>
      <c r="E20" s="109" t="s">
        <v>217</v>
      </c>
      <c r="F20" s="124" t="s">
        <v>218</v>
      </c>
      <c r="G20" s="116">
        <v>44.8</v>
      </c>
      <c r="H20" s="113">
        <v>48.2</v>
      </c>
      <c r="I20" s="114">
        <v>11</v>
      </c>
      <c r="J20" s="94"/>
      <c r="K20" s="94"/>
      <c r="L20" s="94"/>
      <c r="M20" s="94"/>
      <c r="N20" s="94"/>
      <c r="O20" s="94"/>
      <c r="P20" s="96"/>
    </row>
    <row r="21" spans="1:16" ht="14.25">
      <c r="A21" s="112" t="s">
        <v>219</v>
      </c>
      <c r="B21" s="114">
        <v>2</v>
      </c>
      <c r="C21" s="125" t="s">
        <v>220</v>
      </c>
      <c r="D21" s="113" t="s">
        <v>221</v>
      </c>
      <c r="E21" s="114" t="s">
        <v>222</v>
      </c>
      <c r="F21" s="125" t="s">
        <v>223</v>
      </c>
      <c r="G21" s="116">
        <v>82.1</v>
      </c>
      <c r="H21" s="113">
        <v>64</v>
      </c>
      <c r="I21" s="114">
        <v>28</v>
      </c>
      <c r="J21" s="94"/>
      <c r="K21" s="94"/>
      <c r="L21" s="94"/>
      <c r="M21" s="94"/>
      <c r="N21" s="94"/>
      <c r="O21" s="94"/>
      <c r="P21" s="96"/>
    </row>
    <row r="22" spans="1:16" ht="14.25">
      <c r="A22" s="112" t="s">
        <v>224</v>
      </c>
      <c r="B22" s="114">
        <v>2</v>
      </c>
      <c r="C22" s="125" t="s">
        <v>220</v>
      </c>
      <c r="D22" s="113" t="s">
        <v>225</v>
      </c>
      <c r="E22" s="114" t="s">
        <v>222</v>
      </c>
      <c r="F22" s="125" t="s">
        <v>223</v>
      </c>
      <c r="G22" s="116">
        <v>81.4</v>
      </c>
      <c r="H22" s="113">
        <v>75.5</v>
      </c>
      <c r="I22" s="114">
        <v>33</v>
      </c>
      <c r="J22" s="94"/>
      <c r="K22" s="94"/>
      <c r="L22" s="94"/>
      <c r="M22" s="94"/>
      <c r="N22" s="94"/>
      <c r="O22" s="94"/>
      <c r="P22" s="96"/>
    </row>
    <row r="23" spans="1:16" ht="14.25">
      <c r="A23" s="112" t="s">
        <v>226</v>
      </c>
      <c r="B23" s="114">
        <v>1</v>
      </c>
      <c r="C23" s="125" t="s">
        <v>191</v>
      </c>
      <c r="D23" s="113" t="s">
        <v>227</v>
      </c>
      <c r="E23" s="114" t="s">
        <v>228</v>
      </c>
      <c r="F23" s="125" t="s">
        <v>229</v>
      </c>
      <c r="G23" s="116">
        <v>107</v>
      </c>
      <c r="H23" s="113">
        <v>90.8</v>
      </c>
      <c r="I23" s="114">
        <v>52</v>
      </c>
      <c r="J23" s="94"/>
      <c r="K23" s="94"/>
      <c r="L23" s="94"/>
      <c r="M23" s="94"/>
      <c r="N23" s="94"/>
      <c r="O23" s="94"/>
      <c r="P23" s="96"/>
    </row>
    <row r="24" spans="1:16" ht="14.25">
      <c r="A24" s="112" t="s">
        <v>230</v>
      </c>
      <c r="B24" s="114">
        <v>1</v>
      </c>
      <c r="C24" s="125" t="s">
        <v>196</v>
      </c>
      <c r="D24" s="113" t="s">
        <v>231</v>
      </c>
      <c r="E24" s="114" t="s">
        <v>232</v>
      </c>
      <c r="F24" s="125" t="s">
        <v>232</v>
      </c>
      <c r="G24" s="116">
        <v>149</v>
      </c>
      <c r="H24" s="113">
        <v>98</v>
      </c>
      <c r="I24" s="114">
        <v>78</v>
      </c>
      <c r="J24" s="94"/>
      <c r="K24" s="94"/>
      <c r="L24" s="94"/>
      <c r="M24" s="94"/>
      <c r="N24" s="94"/>
      <c r="O24" s="94"/>
      <c r="P24" s="96"/>
    </row>
    <row r="25" spans="1:16" ht="14.25">
      <c r="A25" s="112" t="s">
        <v>233</v>
      </c>
      <c r="B25" s="114">
        <v>1</v>
      </c>
      <c r="C25" s="125" t="s">
        <v>234</v>
      </c>
      <c r="D25" s="113" t="s">
        <v>231</v>
      </c>
      <c r="E25" s="114" t="s">
        <v>235</v>
      </c>
      <c r="F25" s="125" t="s">
        <v>235</v>
      </c>
      <c r="G25" s="116">
        <v>194</v>
      </c>
      <c r="H25" s="113">
        <v>98.8</v>
      </c>
      <c r="I25" s="114">
        <v>102</v>
      </c>
      <c r="J25" s="94"/>
      <c r="K25" s="94"/>
      <c r="L25" s="94"/>
      <c r="M25" s="94"/>
      <c r="N25" s="94"/>
      <c r="O25" s="94"/>
      <c r="P25" s="96"/>
    </row>
    <row r="26" spans="1:16" ht="14.25">
      <c r="A26" s="112" t="s">
        <v>236</v>
      </c>
      <c r="B26" s="114">
        <v>2</v>
      </c>
      <c r="C26" s="125" t="s">
        <v>237</v>
      </c>
      <c r="D26" s="113" t="s">
        <v>238</v>
      </c>
      <c r="E26" s="114" t="s">
        <v>239</v>
      </c>
      <c r="F26" s="125" t="s">
        <v>240</v>
      </c>
      <c r="G26" s="116">
        <v>240</v>
      </c>
      <c r="H26" s="113">
        <v>98.6</v>
      </c>
      <c r="I26" s="114">
        <v>116</v>
      </c>
      <c r="J26" s="94"/>
      <c r="K26" s="94"/>
      <c r="L26" s="94"/>
      <c r="M26" s="94"/>
      <c r="N26" s="94"/>
      <c r="O26" s="94"/>
      <c r="P26" s="96"/>
    </row>
    <row r="27" spans="1:16" ht="14.25">
      <c r="A27" s="117" t="s">
        <v>241</v>
      </c>
      <c r="B27" s="119">
        <v>1</v>
      </c>
      <c r="C27" s="126" t="s">
        <v>242</v>
      </c>
      <c r="D27" s="118" t="s">
        <v>243</v>
      </c>
      <c r="E27" s="119" t="s">
        <v>244</v>
      </c>
      <c r="F27" s="126" t="s">
        <v>245</v>
      </c>
      <c r="G27" s="121">
        <v>231</v>
      </c>
      <c r="H27" s="118">
        <v>91.3</v>
      </c>
      <c r="I27" s="119">
        <v>110</v>
      </c>
      <c r="J27" s="94"/>
      <c r="K27" s="94"/>
      <c r="L27" s="94"/>
      <c r="M27" s="94"/>
      <c r="N27" s="94"/>
      <c r="O27" s="94"/>
      <c r="P27" s="96"/>
    </row>
    <row r="28" spans="1:16" ht="14.25">
      <c r="A28" s="94"/>
      <c r="B28" s="94"/>
      <c r="C28" s="94"/>
      <c r="D28" s="94"/>
      <c r="E28" s="94"/>
      <c r="F28" s="94"/>
      <c r="G28" s="95"/>
      <c r="H28" s="94"/>
      <c r="I28" s="94"/>
      <c r="J28" s="94"/>
      <c r="K28" s="94"/>
      <c r="L28" s="94"/>
      <c r="M28" s="94"/>
      <c r="N28" s="94"/>
      <c r="O28" s="94"/>
      <c r="P28" s="96"/>
    </row>
    <row r="29" spans="1:16" ht="14.25">
      <c r="A29" s="98" t="s">
        <v>128</v>
      </c>
      <c r="B29" s="177" t="s">
        <v>246</v>
      </c>
      <c r="C29" s="178"/>
      <c r="D29" s="178"/>
      <c r="E29" s="179"/>
      <c r="F29" s="99"/>
      <c r="G29" s="127" t="s">
        <v>130</v>
      </c>
      <c r="H29" s="97" t="s">
        <v>131</v>
      </c>
      <c r="I29" s="123" t="s">
        <v>212</v>
      </c>
      <c r="J29" s="94"/>
      <c r="K29" s="94"/>
      <c r="L29" s="94"/>
      <c r="M29" s="94"/>
      <c r="N29" s="94"/>
      <c r="O29" s="94"/>
      <c r="P29" s="96"/>
    </row>
    <row r="30" spans="1:16" ht="14.25">
      <c r="A30" s="128"/>
      <c r="B30" s="102" t="s">
        <v>247</v>
      </c>
      <c r="C30" s="103" t="s">
        <v>248</v>
      </c>
      <c r="D30" s="104" t="s">
        <v>249</v>
      </c>
      <c r="E30" s="103" t="s">
        <v>250</v>
      </c>
      <c r="F30" s="106"/>
      <c r="G30" s="129" t="s">
        <v>138</v>
      </c>
      <c r="H30" s="101" t="s">
        <v>139</v>
      </c>
      <c r="I30" s="130" t="s">
        <v>140</v>
      </c>
      <c r="J30" s="94"/>
      <c r="K30" s="94"/>
      <c r="L30" s="94"/>
      <c r="M30" s="94"/>
      <c r="N30" s="94"/>
      <c r="O30" s="94"/>
      <c r="P30" s="96"/>
    </row>
    <row r="31" spans="1:16" ht="14.25">
      <c r="A31" s="131" t="s">
        <v>251</v>
      </c>
      <c r="B31" s="109" t="s">
        <v>252</v>
      </c>
      <c r="C31" s="114" t="s">
        <v>253</v>
      </c>
      <c r="D31" s="113" t="s">
        <v>254</v>
      </c>
      <c r="E31" s="109" t="s">
        <v>255</v>
      </c>
      <c r="F31" s="132"/>
      <c r="G31" s="133">
        <v>62</v>
      </c>
      <c r="H31" s="114">
        <v>37.4</v>
      </c>
      <c r="I31" s="125">
        <v>13</v>
      </c>
      <c r="J31" s="94"/>
      <c r="K31" s="94"/>
      <c r="L31" s="94"/>
      <c r="M31" s="94"/>
      <c r="N31" s="94"/>
      <c r="O31" s="94"/>
      <c r="P31" s="96"/>
    </row>
    <row r="32" spans="1:16" ht="14.25">
      <c r="A32" s="131" t="s">
        <v>256</v>
      </c>
      <c r="B32" s="114" t="s">
        <v>252</v>
      </c>
      <c r="C32" s="114" t="s">
        <v>253</v>
      </c>
      <c r="D32" s="113" t="s">
        <v>254</v>
      </c>
      <c r="E32" s="114" t="s">
        <v>257</v>
      </c>
      <c r="F32" s="132"/>
      <c r="G32" s="133">
        <v>62</v>
      </c>
      <c r="H32" s="114">
        <v>45.4</v>
      </c>
      <c r="I32" s="125">
        <v>15</v>
      </c>
      <c r="J32" s="94"/>
      <c r="K32" s="94"/>
      <c r="L32" s="94"/>
      <c r="M32" s="94"/>
      <c r="N32" s="94"/>
      <c r="O32" s="94"/>
      <c r="P32" s="96"/>
    </row>
    <row r="33" spans="1:16" ht="14.25">
      <c r="A33" s="131" t="s">
        <v>258</v>
      </c>
      <c r="B33" s="114" t="s">
        <v>259</v>
      </c>
      <c r="C33" s="114" t="s">
        <v>260</v>
      </c>
      <c r="D33" s="113" t="s">
        <v>261</v>
      </c>
      <c r="E33" s="114" t="s">
        <v>262</v>
      </c>
      <c r="F33" s="132"/>
      <c r="G33" s="133">
        <v>119</v>
      </c>
      <c r="H33" s="114">
        <v>46.3</v>
      </c>
      <c r="I33" s="125">
        <v>31</v>
      </c>
      <c r="J33" s="94"/>
      <c r="K33" s="94"/>
      <c r="L33" s="94"/>
      <c r="M33" s="94"/>
      <c r="N33" s="94"/>
      <c r="O33" s="94"/>
      <c r="P33" s="96"/>
    </row>
    <row r="34" spans="1:16" ht="14.25">
      <c r="A34" s="131" t="s">
        <v>263</v>
      </c>
      <c r="B34" s="114" t="s">
        <v>259</v>
      </c>
      <c r="C34" s="114" t="s">
        <v>260</v>
      </c>
      <c r="D34" s="113" t="s">
        <v>261</v>
      </c>
      <c r="E34" s="114" t="s">
        <v>264</v>
      </c>
      <c r="F34" s="132"/>
      <c r="G34" s="133">
        <v>118</v>
      </c>
      <c r="H34" s="114">
        <v>55.5</v>
      </c>
      <c r="I34" s="125">
        <v>36</v>
      </c>
      <c r="J34" s="94"/>
      <c r="K34" s="94"/>
      <c r="L34" s="94"/>
      <c r="M34" s="94"/>
      <c r="N34" s="94"/>
      <c r="O34" s="94"/>
      <c r="P34" s="96"/>
    </row>
    <row r="35" spans="1:16" ht="14.25">
      <c r="A35" s="131" t="s">
        <v>265</v>
      </c>
      <c r="B35" s="114" t="s">
        <v>266</v>
      </c>
      <c r="C35" s="114" t="s">
        <v>267</v>
      </c>
      <c r="D35" s="113" t="s">
        <v>268</v>
      </c>
      <c r="E35" s="114" t="s">
        <v>269</v>
      </c>
      <c r="F35" s="132"/>
      <c r="G35" s="133">
        <v>170</v>
      </c>
      <c r="H35" s="114">
        <v>55.5</v>
      </c>
      <c r="I35" s="125">
        <v>42</v>
      </c>
      <c r="J35" s="94"/>
      <c r="K35" s="94"/>
      <c r="L35" s="94"/>
      <c r="M35" s="94"/>
      <c r="N35" s="94"/>
      <c r="O35" s="94"/>
      <c r="P35" s="96"/>
    </row>
    <row r="36" spans="1:16" ht="14.25">
      <c r="A36" s="131" t="s">
        <v>270</v>
      </c>
      <c r="B36" s="114" t="s">
        <v>266</v>
      </c>
      <c r="C36" s="114" t="s">
        <v>267</v>
      </c>
      <c r="D36" s="113" t="s">
        <v>268</v>
      </c>
      <c r="E36" s="114" t="s">
        <v>271</v>
      </c>
      <c r="F36" s="132"/>
      <c r="G36" s="133">
        <v>161</v>
      </c>
      <c r="H36" s="114">
        <v>74.6</v>
      </c>
      <c r="I36" s="125">
        <v>55</v>
      </c>
      <c r="J36" s="94"/>
      <c r="K36" s="94"/>
      <c r="L36" s="94"/>
      <c r="M36" s="94"/>
      <c r="N36" s="94"/>
      <c r="O36" s="94"/>
      <c r="P36" s="96"/>
    </row>
    <row r="37" spans="1:16" ht="14.25">
      <c r="A37" s="131" t="s">
        <v>272</v>
      </c>
      <c r="B37" s="114" t="s">
        <v>273</v>
      </c>
      <c r="C37" s="114" t="s">
        <v>274</v>
      </c>
      <c r="D37" s="113" t="s">
        <v>275</v>
      </c>
      <c r="E37" s="114" t="s">
        <v>276</v>
      </c>
      <c r="F37" s="132"/>
      <c r="G37" s="133">
        <v>196</v>
      </c>
      <c r="H37" s="114">
        <v>87.9</v>
      </c>
      <c r="I37" s="125">
        <v>73</v>
      </c>
      <c r="J37" s="94"/>
      <c r="K37" s="94"/>
      <c r="L37" s="94"/>
      <c r="M37" s="94"/>
      <c r="N37" s="94"/>
      <c r="O37" s="94"/>
      <c r="P37" s="96"/>
    </row>
    <row r="38" spans="1:16" ht="14.25">
      <c r="A38" s="131" t="s">
        <v>277</v>
      </c>
      <c r="B38" s="114" t="s">
        <v>278</v>
      </c>
      <c r="C38" s="114" t="s">
        <v>279</v>
      </c>
      <c r="D38" s="113" t="s">
        <v>280</v>
      </c>
      <c r="E38" s="114" t="s">
        <v>281</v>
      </c>
      <c r="F38" s="132"/>
      <c r="G38" s="133">
        <v>201</v>
      </c>
      <c r="H38" s="114">
        <v>101.9</v>
      </c>
      <c r="I38" s="125">
        <v>95</v>
      </c>
      <c r="J38" s="94"/>
      <c r="K38" s="94"/>
      <c r="L38" s="94"/>
      <c r="M38" s="94"/>
      <c r="N38" s="94"/>
      <c r="O38" s="94"/>
      <c r="P38" s="96"/>
    </row>
    <row r="39" spans="1:16" ht="14.25">
      <c r="A39" s="134" t="s">
        <v>282</v>
      </c>
      <c r="B39" s="119" t="s">
        <v>201</v>
      </c>
      <c r="C39" s="119" t="s">
        <v>283</v>
      </c>
      <c r="D39" s="118" t="s">
        <v>284</v>
      </c>
      <c r="E39" s="119" t="s">
        <v>285</v>
      </c>
      <c r="F39" s="135"/>
      <c r="G39" s="136">
        <v>328</v>
      </c>
      <c r="H39" s="119">
        <v>113</v>
      </c>
      <c r="I39" s="126">
        <v>195</v>
      </c>
      <c r="J39" s="94"/>
      <c r="K39" s="94"/>
      <c r="L39" s="94"/>
      <c r="M39" s="94"/>
      <c r="N39" s="94"/>
      <c r="O39" s="94"/>
      <c r="P39" s="96"/>
    </row>
    <row r="40" spans="1:16" ht="14.25">
      <c r="A40" s="94"/>
      <c r="B40" s="94"/>
      <c r="C40" s="94"/>
      <c r="D40" s="94"/>
      <c r="E40" s="94"/>
      <c r="F40" s="94"/>
      <c r="G40" s="95"/>
      <c r="H40" s="94"/>
      <c r="I40" s="94"/>
      <c r="J40" s="94"/>
      <c r="K40" s="94"/>
      <c r="L40" s="94"/>
      <c r="M40" s="94"/>
      <c r="N40" s="94"/>
      <c r="O40" s="94"/>
      <c r="P40" s="96"/>
    </row>
    <row r="41" spans="1:16" ht="14.25">
      <c r="A41" s="94"/>
      <c r="B41" s="94"/>
      <c r="C41" s="94"/>
      <c r="D41" s="94"/>
      <c r="E41" s="94"/>
      <c r="F41" s="94"/>
      <c r="G41" s="95"/>
      <c r="H41" s="94"/>
      <c r="I41" s="94"/>
      <c r="J41" s="94"/>
      <c r="K41" s="94"/>
      <c r="L41" s="94"/>
      <c r="M41" s="94"/>
      <c r="N41" s="94"/>
      <c r="O41" s="94"/>
      <c r="P41" s="96"/>
    </row>
    <row r="42" spans="1:16" ht="14.25">
      <c r="A42" s="94"/>
      <c r="B42" s="94"/>
      <c r="C42" s="94"/>
      <c r="D42" s="94"/>
      <c r="E42" s="94"/>
      <c r="F42" s="94"/>
      <c r="G42" s="95"/>
      <c r="H42" s="94"/>
      <c r="I42" s="94"/>
      <c r="J42" s="94"/>
      <c r="K42" s="94"/>
      <c r="L42" s="94"/>
      <c r="M42" s="94"/>
      <c r="N42" s="94"/>
      <c r="O42" s="94"/>
      <c r="P42" s="96"/>
    </row>
    <row r="43" spans="1:16" ht="14.25">
      <c r="A43" s="94"/>
      <c r="B43" s="94"/>
      <c r="C43" s="94"/>
      <c r="D43" s="94"/>
      <c r="E43" s="94"/>
      <c r="F43" s="94"/>
      <c r="G43" s="95"/>
      <c r="H43" s="94"/>
      <c r="I43" s="94"/>
      <c r="J43" s="94"/>
      <c r="K43" s="94"/>
      <c r="L43" s="94"/>
      <c r="M43" s="94"/>
      <c r="N43" s="94"/>
      <c r="O43" s="94"/>
      <c r="P43" s="96"/>
    </row>
    <row r="44" spans="1:16" ht="14.25">
      <c r="A44" s="94"/>
      <c r="B44" s="94"/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4"/>
      <c r="N44" s="94"/>
      <c r="O44" s="94"/>
      <c r="P44" s="96"/>
    </row>
    <row r="45" spans="1:16" ht="14.25">
      <c r="A45" s="94"/>
      <c r="B45" s="94"/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4"/>
      <c r="N45" s="94"/>
      <c r="O45" s="94"/>
      <c r="P45" s="96"/>
    </row>
    <row r="46" spans="1:16" ht="14.25">
      <c r="A46" s="94"/>
      <c r="B46" s="94"/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/>
      <c r="P46" s="96"/>
    </row>
    <row r="47" spans="1:16" ht="14.25">
      <c r="A47" s="94"/>
      <c r="B47" s="94"/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6"/>
    </row>
    <row r="48" spans="1:16" ht="14.25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  <c r="P48" s="96"/>
    </row>
    <row r="49" spans="1:16" ht="14.25">
      <c r="A49" s="94"/>
      <c r="B49" s="94"/>
      <c r="C49" s="94"/>
      <c r="D49" s="94"/>
      <c r="E49" s="94"/>
      <c r="F49" s="94"/>
      <c r="G49" s="95"/>
      <c r="H49" s="94"/>
      <c r="I49" s="94"/>
      <c r="J49" s="94"/>
      <c r="K49" s="94"/>
      <c r="L49" s="94"/>
      <c r="M49" s="94"/>
      <c r="N49" s="94"/>
      <c r="O49" s="94"/>
      <c r="P49" s="96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2004-08-12T23:06:58Z</cp:lastPrinted>
  <dcterms:created xsi:type="dcterms:W3CDTF">1997-01-10T04:21:27Z</dcterms:created>
  <dcterms:modified xsi:type="dcterms:W3CDTF">2013-03-26T12:57:26Z</dcterms:modified>
  <cp:category/>
  <cp:version/>
  <cp:contentType/>
  <cp:contentStatus/>
</cp:coreProperties>
</file>